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73668\Desktop\"/>
    </mc:Choice>
  </mc:AlternateContent>
  <xr:revisionPtr revIDLastSave="0" documentId="8_{66D9088D-3A22-4B08-AA68-0ABC131922B0}" xr6:coauthVersionLast="44" xr6:coauthVersionMax="44" xr10:uidLastSave="{00000000-0000-0000-0000-000000000000}"/>
  <bookViews>
    <workbookView xWindow="-120" yWindow="-120" windowWidth="20730" windowHeight="11160" activeTab="6" xr2:uid="{F7919C8F-E09F-410D-AC1E-D3C756FC8B02}"/>
  </bookViews>
  <sheets>
    <sheet name="Entering_Exiting" sheetId="1" r:id="rId1"/>
    <sheet name="Region 1" sheetId="2" r:id="rId2"/>
    <sheet name="Region 2" sheetId="3" r:id="rId3"/>
    <sheet name="Region 3" sheetId="4" r:id="rId4"/>
    <sheet name="Region 4" sheetId="5" r:id="rId5"/>
    <sheet name="Region 5" sheetId="6" r:id="rId6"/>
    <sheet name="Region 6" sheetId="7" r:id="rId7"/>
  </sheets>
  <externalReferences>
    <externalReference r:id="rId8"/>
  </externalReferences>
  <definedNames>
    <definedName name="referral">'[1]Report Referrals'!$B$2:$C$58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7" l="1"/>
  <c r="C16" i="7"/>
  <c r="D15" i="7"/>
  <c r="C15" i="7"/>
  <c r="D14" i="7"/>
  <c r="C14" i="7"/>
  <c r="D13" i="7"/>
  <c r="D17" i="7" s="1"/>
  <c r="C13" i="7"/>
  <c r="C17" i="7" s="1"/>
  <c r="D11" i="7"/>
  <c r="C11" i="7"/>
  <c r="D10" i="7"/>
  <c r="D12" i="7" s="1"/>
  <c r="C10" i="7"/>
  <c r="C12" i="7" s="1"/>
  <c r="H9" i="7"/>
  <c r="G9" i="7"/>
  <c r="F9" i="7"/>
  <c r="E9" i="7"/>
  <c r="J8" i="7"/>
  <c r="J18" i="7" s="1"/>
  <c r="I8" i="7"/>
  <c r="I18" i="7" s="1"/>
  <c r="D8" i="7"/>
  <c r="D9" i="7" s="1"/>
  <c r="C8" i="7"/>
  <c r="C9" i="7" s="1"/>
  <c r="H17" i="6"/>
  <c r="G17" i="6"/>
  <c r="F17" i="6"/>
  <c r="E17" i="6"/>
  <c r="J16" i="6"/>
  <c r="I16" i="6"/>
  <c r="D16" i="6"/>
  <c r="C16" i="6"/>
  <c r="M15" i="6"/>
  <c r="D15" i="6"/>
  <c r="D17" i="6" s="1"/>
  <c r="C15" i="6"/>
  <c r="L15" i="6" s="1"/>
  <c r="H14" i="6"/>
  <c r="G14" i="6"/>
  <c r="F14" i="6"/>
  <c r="E14" i="6"/>
  <c r="D13" i="6"/>
  <c r="C13" i="6"/>
  <c r="D12" i="6"/>
  <c r="C12" i="6"/>
  <c r="J11" i="6"/>
  <c r="I11" i="6"/>
  <c r="D11" i="6"/>
  <c r="D14" i="6" s="1"/>
  <c r="C11" i="6"/>
  <c r="C14" i="6" s="1"/>
  <c r="H9" i="6"/>
  <c r="G9" i="6"/>
  <c r="I8" i="6" s="1"/>
  <c r="I18" i="6" s="1"/>
  <c r="F9" i="6"/>
  <c r="E9" i="6"/>
  <c r="J8" i="6"/>
  <c r="J18" i="6" s="1"/>
  <c r="D8" i="6"/>
  <c r="D9" i="6" s="1"/>
  <c r="C8" i="6"/>
  <c r="C9" i="6" s="1"/>
  <c r="H23" i="5"/>
  <c r="G23" i="5"/>
  <c r="F23" i="5"/>
  <c r="E23" i="5"/>
  <c r="I19" i="5" s="1"/>
  <c r="D22" i="5"/>
  <c r="C22" i="5"/>
  <c r="D21" i="5"/>
  <c r="C21" i="5"/>
  <c r="D20" i="5"/>
  <c r="C20" i="5"/>
  <c r="J19" i="5"/>
  <c r="D19" i="5"/>
  <c r="D23" i="5" s="1"/>
  <c r="C19" i="5"/>
  <c r="C23" i="5" s="1"/>
  <c r="H18" i="5"/>
  <c r="J15" i="5" s="1"/>
  <c r="G18" i="5"/>
  <c r="F18" i="5"/>
  <c r="E18" i="5"/>
  <c r="D17" i="5"/>
  <c r="C17" i="5"/>
  <c r="D16" i="5"/>
  <c r="C16" i="5"/>
  <c r="I15" i="5"/>
  <c r="D15" i="5"/>
  <c r="D18" i="5" s="1"/>
  <c r="C15" i="5"/>
  <c r="C18" i="5" s="1"/>
  <c r="D13" i="5"/>
  <c r="C13" i="5"/>
  <c r="D12" i="5"/>
  <c r="D14" i="5" s="1"/>
  <c r="C12" i="5"/>
  <c r="C14" i="5" s="1"/>
  <c r="H11" i="5"/>
  <c r="J10" i="5" s="1"/>
  <c r="G11" i="5"/>
  <c r="F11" i="5"/>
  <c r="E11" i="5"/>
  <c r="I10" i="5"/>
  <c r="D10" i="5"/>
  <c r="D11" i="5" s="1"/>
  <c r="C10" i="5"/>
  <c r="C11" i="5" s="1"/>
  <c r="H9" i="5"/>
  <c r="H24" i="5" s="1"/>
  <c r="G9" i="5"/>
  <c r="G24" i="5" s="1"/>
  <c r="F9" i="5"/>
  <c r="F24" i="5" s="1"/>
  <c r="E9" i="5"/>
  <c r="E24" i="5" s="1"/>
  <c r="J8" i="5"/>
  <c r="J24" i="5" s="1"/>
  <c r="I8" i="5"/>
  <c r="D8" i="5"/>
  <c r="D9" i="5" s="1"/>
  <c r="C8" i="5"/>
  <c r="C9" i="5" s="1"/>
  <c r="D11" i="4"/>
  <c r="C11" i="4"/>
  <c r="D10" i="4"/>
  <c r="D12" i="4" s="1"/>
  <c r="C10" i="4"/>
  <c r="C12" i="4" s="1"/>
  <c r="H9" i="4"/>
  <c r="G9" i="4"/>
  <c r="F9" i="4"/>
  <c r="E9" i="4"/>
  <c r="J8" i="4"/>
  <c r="J13" i="4" s="1"/>
  <c r="I8" i="4"/>
  <c r="I13" i="4" s="1"/>
  <c r="D8" i="4"/>
  <c r="D9" i="4" s="1"/>
  <c r="C8" i="4"/>
  <c r="C9" i="4" s="1"/>
  <c r="L8" i="7" l="1"/>
  <c r="K8" i="7"/>
  <c r="C18" i="7"/>
  <c r="D18" i="7"/>
  <c r="N8" i="7"/>
  <c r="M8" i="7"/>
  <c r="M10" i="7"/>
  <c r="N10" i="7"/>
  <c r="N13" i="7"/>
  <c r="M13" i="7"/>
  <c r="L10" i="7"/>
  <c r="K10" i="7"/>
  <c r="K13" i="7"/>
  <c r="L13" i="7"/>
  <c r="L8" i="6"/>
  <c r="K8" i="6"/>
  <c r="N11" i="6"/>
  <c r="M11" i="6"/>
  <c r="N16" i="6"/>
  <c r="M16" i="6"/>
  <c r="L11" i="6"/>
  <c r="K11" i="6"/>
  <c r="N8" i="6"/>
  <c r="M8" i="6"/>
  <c r="D18" i="6"/>
  <c r="N15" i="6"/>
  <c r="K15" i="6"/>
  <c r="C17" i="6"/>
  <c r="K12" i="5"/>
  <c r="L12" i="5"/>
  <c r="N19" i="5"/>
  <c r="M19" i="5"/>
  <c r="N12" i="5"/>
  <c r="M12" i="5"/>
  <c r="M8" i="5"/>
  <c r="N8" i="5"/>
  <c r="D24" i="5"/>
  <c r="N10" i="5"/>
  <c r="M10" i="5"/>
  <c r="L15" i="5"/>
  <c r="K15" i="5"/>
  <c r="L8" i="5"/>
  <c r="K8" i="5"/>
  <c r="K10" i="5"/>
  <c r="C24" i="5"/>
  <c r="L10" i="5"/>
  <c r="N15" i="5"/>
  <c r="M15" i="5"/>
  <c r="I24" i="5"/>
  <c r="L19" i="5"/>
  <c r="K19" i="5"/>
  <c r="L8" i="4"/>
  <c r="C13" i="4"/>
  <c r="K8" i="4"/>
  <c r="N10" i="4"/>
  <c r="M10" i="4"/>
  <c r="L10" i="4"/>
  <c r="K10" i="4"/>
  <c r="N8" i="4"/>
  <c r="M8" i="4"/>
  <c r="D13" i="4"/>
  <c r="D20" i="3"/>
  <c r="C20" i="3"/>
  <c r="D19" i="3"/>
  <c r="C19" i="3"/>
  <c r="D18" i="3"/>
  <c r="C18" i="3"/>
  <c r="D17" i="3"/>
  <c r="D21" i="3" s="1"/>
  <c r="C17" i="3"/>
  <c r="C21" i="3" s="1"/>
  <c r="D15" i="3"/>
  <c r="C15" i="3"/>
  <c r="D14" i="3"/>
  <c r="C14" i="3"/>
  <c r="D13" i="3"/>
  <c r="C13" i="3"/>
  <c r="D12" i="3"/>
  <c r="C12" i="3"/>
  <c r="D11" i="3"/>
  <c r="C11" i="3"/>
  <c r="D10" i="3"/>
  <c r="D16" i="3" s="1"/>
  <c r="C10" i="3"/>
  <c r="C16" i="3" s="1"/>
  <c r="H9" i="3"/>
  <c r="G9" i="3"/>
  <c r="F9" i="3"/>
  <c r="E9" i="3"/>
  <c r="J8" i="3"/>
  <c r="J22" i="3" s="1"/>
  <c r="I8" i="3"/>
  <c r="I22" i="3" s="1"/>
  <c r="D8" i="3"/>
  <c r="D9" i="3" s="1"/>
  <c r="C8" i="3"/>
  <c r="C9" i="3" s="1"/>
  <c r="J31" i="2"/>
  <c r="I31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D30" i="2" s="1"/>
  <c r="C23" i="2"/>
  <c r="C30" i="2" s="1"/>
  <c r="D21" i="2"/>
  <c r="C21" i="2"/>
  <c r="D20" i="2"/>
  <c r="C20" i="2"/>
  <c r="D19" i="2"/>
  <c r="C19" i="2"/>
  <c r="D18" i="2"/>
  <c r="C18" i="2"/>
  <c r="K17" i="2" s="1"/>
  <c r="D17" i="2"/>
  <c r="C17" i="2"/>
  <c r="D16" i="2"/>
  <c r="C16" i="2"/>
  <c r="D15" i="2"/>
  <c r="D22" i="2" s="1"/>
  <c r="C15" i="2"/>
  <c r="C22" i="2" s="1"/>
  <c r="D13" i="2"/>
  <c r="C13" i="2"/>
  <c r="D12" i="2"/>
  <c r="D14" i="2" s="1"/>
  <c r="C12" i="2"/>
  <c r="C14" i="2" s="1"/>
  <c r="D10" i="2"/>
  <c r="D11" i="2" s="1"/>
  <c r="C10" i="2"/>
  <c r="C11" i="2" s="1"/>
  <c r="D8" i="2"/>
  <c r="D9" i="2" s="1"/>
  <c r="C8" i="2"/>
  <c r="C9" i="2" s="1"/>
  <c r="N18" i="7" l="1"/>
  <c r="M18" i="7"/>
  <c r="K18" i="7"/>
  <c r="L18" i="7"/>
  <c r="N18" i="6"/>
  <c r="M18" i="6"/>
  <c r="L16" i="6"/>
  <c r="K16" i="6"/>
  <c r="C18" i="6"/>
  <c r="L24" i="5"/>
  <c r="K24" i="5"/>
  <c r="N24" i="5"/>
  <c r="M24" i="5"/>
  <c r="N13" i="4"/>
  <c r="M13" i="4"/>
  <c r="L13" i="4"/>
  <c r="K13" i="4"/>
  <c r="L10" i="3"/>
  <c r="K10" i="3"/>
  <c r="L17" i="3"/>
  <c r="C22" i="3"/>
  <c r="K17" i="3"/>
  <c r="N17" i="3"/>
  <c r="M17" i="3"/>
  <c r="D22" i="3"/>
  <c r="L8" i="3"/>
  <c r="K8" i="3"/>
  <c r="N8" i="3"/>
  <c r="M8" i="3"/>
  <c r="N10" i="3"/>
  <c r="M10" i="3"/>
  <c r="L10" i="2"/>
  <c r="K10" i="2"/>
  <c r="L23" i="2"/>
  <c r="K23" i="2"/>
  <c r="C31" i="2"/>
  <c r="M10" i="2"/>
  <c r="N10" i="2"/>
  <c r="M23" i="2"/>
  <c r="D31" i="2"/>
  <c r="N23" i="2"/>
  <c r="L8" i="2"/>
  <c r="K8" i="2"/>
  <c r="L12" i="2"/>
  <c r="K12" i="2"/>
  <c r="K15" i="2"/>
  <c r="K21" i="2"/>
  <c r="K19" i="2"/>
  <c r="L15" i="2"/>
  <c r="M8" i="2"/>
  <c r="N8" i="2"/>
  <c r="M12" i="2"/>
  <c r="N12" i="2"/>
  <c r="N15" i="2"/>
  <c r="M15" i="2"/>
  <c r="L18" i="6" l="1"/>
  <c r="K18" i="6"/>
  <c r="N22" i="3"/>
  <c r="M22" i="3"/>
  <c r="L22" i="3"/>
  <c r="K22" i="3"/>
  <c r="N31" i="2"/>
  <c r="M31" i="2"/>
  <c r="K31" i="2"/>
  <c r="L31" i="2"/>
</calcChain>
</file>

<file path=xl/sharedStrings.xml><?xml version="1.0" encoding="utf-8"?>
<sst xmlns="http://schemas.openxmlformats.org/spreadsheetml/2006/main" count="236" uniqueCount="108">
  <si>
    <t>Child &amp; Family Services Division</t>
  </si>
  <si>
    <t>Current Caseload Calcuation</t>
  </si>
  <si>
    <t>Report for Month Ending:</t>
  </si>
  <si>
    <t>Region I</t>
  </si>
  <si>
    <t>Placements</t>
  </si>
  <si>
    <t>Reports</t>
  </si>
  <si>
    <t>Intake</t>
  </si>
  <si>
    <t>Ongoing</t>
  </si>
  <si>
    <t>Staffing</t>
  </si>
  <si>
    <t>Caseload</t>
  </si>
  <si>
    <t>Number of Kids in Care for Each County Office</t>
  </si>
  <si>
    <t>Number of Report Referrals</t>
  </si>
  <si>
    <t>Number of Current Intake Workers</t>
  </si>
  <si>
    <t>Number of Intake Positions in Office</t>
  </si>
  <si>
    <t>Number of Current Ongoing Workers</t>
  </si>
  <si>
    <t>Number of Ongoing  Positions in Office</t>
  </si>
  <si>
    <t>Number of Current CPS FTE in Office</t>
  </si>
  <si>
    <t>Number of CPS FTE in Office</t>
  </si>
  <si>
    <t>Current Youth per Worker</t>
  </si>
  <si>
    <t>Youth per Worker Full Staff</t>
  </si>
  <si>
    <t>Current Reports per Worker</t>
  </si>
  <si>
    <t>Reports per Worker Full Staff</t>
  </si>
  <si>
    <t>Wolf Point District</t>
  </si>
  <si>
    <t>Roosevelt County</t>
  </si>
  <si>
    <t>Total</t>
  </si>
  <si>
    <t>Big Horn District</t>
  </si>
  <si>
    <t>Big Horn County</t>
  </si>
  <si>
    <t>Glasgow District</t>
  </si>
  <si>
    <t>Phillips County</t>
  </si>
  <si>
    <t>Valley County</t>
  </si>
  <si>
    <t>Glendive/Sidney District</t>
  </si>
  <si>
    <t>Daniels County</t>
  </si>
  <si>
    <t>Dawson County</t>
  </si>
  <si>
    <t>McCone County</t>
  </si>
  <si>
    <t>Prairie County</t>
  </si>
  <si>
    <t>Richland County</t>
  </si>
  <si>
    <t>Sheridan County</t>
  </si>
  <si>
    <t>Wibaux County</t>
  </si>
  <si>
    <t>Miles City District</t>
  </si>
  <si>
    <t>Custer County</t>
  </si>
  <si>
    <t>Garfield County</t>
  </si>
  <si>
    <t>Powder River County</t>
  </si>
  <si>
    <t>Fallon County</t>
  </si>
  <si>
    <t>Carter County</t>
  </si>
  <si>
    <t>Rosebud County</t>
  </si>
  <si>
    <t>Treasure County</t>
  </si>
  <si>
    <t>Total for Region</t>
  </si>
  <si>
    <t>Region II</t>
  </si>
  <si>
    <t>Number of  CPS FTE in Office</t>
  </si>
  <si>
    <t>Great Falls Hub</t>
  </si>
  <si>
    <t>Cascade County</t>
  </si>
  <si>
    <t>Lewistown Hub</t>
  </si>
  <si>
    <t>Judith Basin County</t>
  </si>
  <si>
    <t>Fergus County</t>
  </si>
  <si>
    <t>Petroleum County</t>
  </si>
  <si>
    <t>Wheatland</t>
  </si>
  <si>
    <t>Golden Valley</t>
  </si>
  <si>
    <t>Musselshell</t>
  </si>
  <si>
    <t>Havre Hub</t>
  </si>
  <si>
    <t>Hill County</t>
  </si>
  <si>
    <t>Blaine County</t>
  </si>
  <si>
    <t>Liberty County</t>
  </si>
  <si>
    <t>Chouteau County</t>
  </si>
  <si>
    <t>Region III</t>
  </si>
  <si>
    <t>Billings Hub</t>
  </si>
  <si>
    <t>Yellowstone County</t>
  </si>
  <si>
    <t>Stillwater/Carbon Hub</t>
  </si>
  <si>
    <t>Stillwater County</t>
  </si>
  <si>
    <t>Carbon County</t>
  </si>
  <si>
    <t>Region IV Caseload</t>
  </si>
  <si>
    <t>Current Staffing Level</t>
  </si>
  <si>
    <t>Butte Hub</t>
  </si>
  <si>
    <t>Silver Bow County</t>
  </si>
  <si>
    <t>Deer Lodge (Butte Hub)</t>
  </si>
  <si>
    <t>Deer Lodge County</t>
  </si>
  <si>
    <t>Beaverhead (Butte Hub)</t>
  </si>
  <si>
    <t>Madison County</t>
  </si>
  <si>
    <t>Beaverhead County</t>
  </si>
  <si>
    <t>Bozeman Hub</t>
  </si>
  <si>
    <t>Gallatin County</t>
  </si>
  <si>
    <t>Park County</t>
  </si>
  <si>
    <t>Sweet Grass County</t>
  </si>
  <si>
    <t>Helena Hub</t>
  </si>
  <si>
    <t>Lewis and Clark</t>
  </si>
  <si>
    <t>Meagher County</t>
  </si>
  <si>
    <t>Broadwater County</t>
  </si>
  <si>
    <t>Jefferson County</t>
  </si>
  <si>
    <t>Region V Caseload</t>
  </si>
  <si>
    <t>Hamilton District</t>
  </si>
  <si>
    <t>Ravalli County</t>
  </si>
  <si>
    <t>Missoula District</t>
  </si>
  <si>
    <t>Missoula County</t>
  </si>
  <si>
    <t>Powell County</t>
  </si>
  <si>
    <t>Granite County</t>
  </si>
  <si>
    <t>Lake (Missoula District)</t>
  </si>
  <si>
    <t>Mineral County</t>
  </si>
  <si>
    <t>Lake County</t>
  </si>
  <si>
    <t>Region VI Caseload</t>
  </si>
  <si>
    <t>Kalispell District</t>
  </si>
  <si>
    <t>Flathead County</t>
  </si>
  <si>
    <t>Libby District</t>
  </si>
  <si>
    <t>Lincoln County</t>
  </si>
  <si>
    <t>Sanders County</t>
  </si>
  <si>
    <t>Conrad District</t>
  </si>
  <si>
    <t>Glacier County</t>
  </si>
  <si>
    <t>Toole County</t>
  </si>
  <si>
    <t>Pondera County</t>
  </si>
  <si>
    <t>Teton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</si>
</sst>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5"/>
      <name val="Arial"/>
      <family val="2"/>
    </font>
    <font>
      <b/>
      <i/>
      <sz val="11"/>
      <name val="Arial"/>
      <family val="2"/>
    </font>
    <font>
      <b/>
      <sz val="15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u/>
      <sz val="9"/>
      <name val="Arial"/>
      <family val="2"/>
    </font>
    <font>
      <b/>
      <sz val="13"/>
      <name val="Arial"/>
      <family val="2"/>
    </font>
    <font>
      <b/>
      <i/>
      <sz val="9"/>
      <name val="Arial"/>
      <family val="2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theme="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lightGray">
        <fgColor theme="0" tint="-0.34998626667073579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theme="0" tint="-0.499984740745262"/>
      </right>
      <top style="thick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ck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medium">
        <color indexed="64"/>
      </right>
      <top style="thick">
        <color theme="1"/>
      </top>
      <bottom/>
      <diagonal/>
    </border>
    <border>
      <left/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double">
        <color indexed="64"/>
      </right>
      <top style="thick">
        <color theme="1"/>
      </top>
      <bottom/>
      <diagonal/>
    </border>
    <border>
      <left/>
      <right style="thin">
        <color indexed="64"/>
      </right>
      <top/>
      <bottom style="thick">
        <color theme="1"/>
      </bottom>
      <diagonal/>
    </border>
    <border>
      <left style="thin">
        <color indexed="64"/>
      </left>
      <right style="double">
        <color indexed="64"/>
      </right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 style="thick">
        <color theme="1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theme="1"/>
      </bottom>
      <diagonal/>
    </border>
    <border>
      <left style="medium">
        <color indexed="64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ck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/>
      <diagonal/>
    </border>
    <border>
      <left style="thick">
        <color theme="1"/>
      </left>
      <right style="thin">
        <color indexed="64"/>
      </right>
      <top/>
      <bottom/>
      <diagonal/>
    </border>
    <border>
      <left style="thick">
        <color theme="1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1"/>
      </left>
      <right/>
      <top style="thick">
        <color indexed="64"/>
      </top>
      <bottom style="thick">
        <color theme="1"/>
      </bottom>
      <diagonal/>
    </border>
    <border>
      <left/>
      <right/>
      <top style="thick">
        <color indexed="64"/>
      </top>
      <bottom style="thick">
        <color theme="1"/>
      </bottom>
      <diagonal/>
    </border>
    <border>
      <left/>
      <right style="medium">
        <color indexed="64"/>
      </right>
      <top style="thick">
        <color indexed="64"/>
      </top>
      <bottom style="thick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theme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ck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theme="1"/>
      </bottom>
      <diagonal/>
    </border>
    <border>
      <left style="double">
        <color indexed="64"/>
      </left>
      <right style="thin">
        <color indexed="64"/>
      </right>
      <top/>
      <bottom style="thick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left"/>
    </xf>
    <xf numFmtId="0" fontId="4" fillId="0" borderId="3" xfId="0" applyFont="1" applyBorder="1"/>
    <xf numFmtId="0" fontId="6" fillId="0" borderId="3" xfId="0" applyFont="1" applyBorder="1"/>
    <xf numFmtId="0" fontId="7" fillId="0" borderId="8" xfId="0" applyFont="1" applyBorder="1"/>
    <xf numFmtId="0" fontId="8" fillId="0" borderId="11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7" fillId="0" borderId="12" xfId="0" applyFont="1" applyBorder="1"/>
    <xf numFmtId="0" fontId="9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2" fontId="13" fillId="0" borderId="50" xfId="0" applyNumberFormat="1" applyFont="1" applyBorder="1" applyAlignment="1">
      <alignment horizontal="center"/>
    </xf>
    <xf numFmtId="2" fontId="13" fillId="0" borderId="54" xfId="0" applyNumberFormat="1" applyFont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0" fontId="4" fillId="0" borderId="5" xfId="0" applyFont="1" applyBorder="1"/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4" fillId="0" borderId="56" xfId="0" applyFont="1" applyBorder="1"/>
    <xf numFmtId="0" fontId="11" fillId="0" borderId="22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3" borderId="61" xfId="0" applyFont="1" applyFill="1" applyBorder="1" applyAlignment="1">
      <alignment horizontal="center"/>
    </xf>
    <xf numFmtId="0" fontId="11" fillId="3" borderId="62" xfId="0" applyFont="1" applyFill="1" applyBorder="1" applyAlignment="1">
      <alignment horizontal="center"/>
    </xf>
    <xf numFmtId="0" fontId="11" fillId="3" borderId="63" xfId="0" applyFont="1" applyFill="1" applyBorder="1" applyAlignment="1">
      <alignment horizontal="center"/>
    </xf>
    <xf numFmtId="0" fontId="11" fillId="3" borderId="64" xfId="0" applyFont="1" applyFill="1" applyBorder="1" applyAlignment="1">
      <alignment horizontal="center"/>
    </xf>
    <xf numFmtId="0" fontId="11" fillId="3" borderId="65" xfId="0" applyFont="1" applyFill="1" applyBorder="1" applyAlignment="1">
      <alignment horizontal="center"/>
    </xf>
    <xf numFmtId="0" fontId="11" fillId="3" borderId="66" xfId="0" applyFont="1" applyFill="1" applyBorder="1" applyAlignment="1">
      <alignment horizontal="center"/>
    </xf>
    <xf numFmtId="0" fontId="11" fillId="3" borderId="68" xfId="0" applyFont="1" applyFill="1" applyBorder="1" applyAlignment="1">
      <alignment horizontal="center"/>
    </xf>
    <xf numFmtId="0" fontId="11" fillId="3" borderId="69" xfId="0" applyFont="1" applyFill="1" applyBorder="1" applyAlignment="1">
      <alignment horizontal="center"/>
    </xf>
    <xf numFmtId="0" fontId="11" fillId="3" borderId="70" xfId="0" applyFont="1" applyFill="1" applyBorder="1" applyAlignment="1">
      <alignment horizontal="center"/>
    </xf>
    <xf numFmtId="0" fontId="11" fillId="3" borderId="71" xfId="0" applyFont="1" applyFill="1" applyBorder="1" applyAlignment="1">
      <alignment horizontal="center"/>
    </xf>
    <xf numFmtId="0" fontId="11" fillId="3" borderId="72" xfId="0" applyFont="1" applyFill="1" applyBorder="1" applyAlignment="1">
      <alignment horizontal="center"/>
    </xf>
    <xf numFmtId="0" fontId="11" fillId="3" borderId="73" xfId="0" applyFont="1" applyFill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4" fillId="0" borderId="5" xfId="0" applyFont="1" applyBorder="1"/>
    <xf numFmtId="0" fontId="14" fillId="0" borderId="39" xfId="0" applyFont="1" applyBorder="1"/>
    <xf numFmtId="0" fontId="10" fillId="0" borderId="74" xfId="0" applyFont="1" applyBorder="1" applyAlignment="1">
      <alignment horizontal="center" vertical="center" wrapText="1"/>
    </xf>
    <xf numFmtId="0" fontId="6" fillId="0" borderId="75" xfId="0" applyFont="1" applyBorder="1"/>
    <xf numFmtId="0" fontId="8" fillId="0" borderId="76" xfId="0" applyFont="1" applyBorder="1" applyAlignment="1">
      <alignment wrapText="1"/>
    </xf>
    <xf numFmtId="0" fontId="11" fillId="0" borderId="67" xfId="0" applyFont="1" applyBorder="1" applyAlignment="1">
      <alignment horizontal="center"/>
    </xf>
    <xf numFmtId="0" fontId="4" fillId="0" borderId="84" xfId="0" applyFont="1" applyBorder="1"/>
    <xf numFmtId="0" fontId="8" fillId="0" borderId="85" xfId="0" applyFont="1" applyBorder="1" applyAlignment="1">
      <alignment wrapText="1"/>
    </xf>
    <xf numFmtId="0" fontId="11" fillId="0" borderId="59" xfId="0" applyFont="1" applyBorder="1" applyAlignment="1">
      <alignment horizontal="center" vertical="center"/>
    </xf>
    <xf numFmtId="2" fontId="15" fillId="0" borderId="79" xfId="0" applyNumberFormat="1" applyFont="1" applyBorder="1" applyAlignment="1">
      <alignment horizontal="center" vertical="center"/>
    </xf>
    <xf numFmtId="2" fontId="15" fillId="0" borderId="80" xfId="0" applyNumberFormat="1" applyFont="1" applyBorder="1" applyAlignment="1">
      <alignment horizontal="center" vertical="center"/>
    </xf>
    <xf numFmtId="2" fontId="15" fillId="0" borderId="77" xfId="0" applyNumberFormat="1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5" fillId="0" borderId="48" xfId="0" applyNumberFormat="1" applyFont="1" applyBorder="1" applyAlignment="1">
      <alignment horizontal="center" vertical="center"/>
    </xf>
    <xf numFmtId="2" fontId="15" fillId="0" borderId="60" xfId="0" applyNumberFormat="1" applyFont="1" applyBorder="1" applyAlignment="1">
      <alignment horizontal="center" vertical="center"/>
    </xf>
    <xf numFmtId="0" fontId="11" fillId="4" borderId="67" xfId="0" applyFont="1" applyFill="1" applyBorder="1" applyAlignment="1">
      <alignment horizontal="center"/>
    </xf>
    <xf numFmtId="0" fontId="11" fillId="5" borderId="60" xfId="0" applyFont="1" applyFill="1" applyBorder="1" applyAlignment="1">
      <alignment horizontal="center" vertical="center"/>
    </xf>
    <xf numFmtId="0" fontId="7" fillId="0" borderId="98" xfId="0" applyFont="1" applyBorder="1"/>
    <xf numFmtId="2" fontId="15" fillId="0" borderId="12" xfId="0" applyNumberFormat="1" applyFont="1" applyBorder="1" applyAlignment="1">
      <alignment horizontal="center"/>
    </xf>
    <xf numFmtId="2" fontId="15" fillId="0" borderId="50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6" fillId="6" borderId="100" xfId="0" applyFont="1" applyFill="1" applyBorder="1"/>
    <xf numFmtId="0" fontId="16" fillId="6" borderId="101" xfId="0" applyFont="1" applyFill="1" applyBorder="1"/>
    <xf numFmtId="0" fontId="11" fillId="6" borderId="101" xfId="0" applyFont="1" applyFill="1" applyBorder="1" applyAlignment="1">
      <alignment horizontal="center" vertical="center"/>
    </xf>
    <xf numFmtId="0" fontId="11" fillId="6" borderId="102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6" borderId="103" xfId="0" applyFont="1" applyFill="1" applyBorder="1" applyAlignment="1">
      <alignment horizontal="center" vertical="center"/>
    </xf>
    <xf numFmtId="2" fontId="15" fillId="6" borderId="0" xfId="0" applyNumberFormat="1" applyFont="1" applyFill="1" applyAlignment="1">
      <alignment horizontal="center" vertical="center"/>
    </xf>
    <xf numFmtId="2" fontId="15" fillId="6" borderId="104" xfId="0" applyNumberFormat="1" applyFont="1" applyFill="1" applyBorder="1" applyAlignment="1">
      <alignment horizontal="center" vertical="center"/>
    </xf>
    <xf numFmtId="2" fontId="15" fillId="6" borderId="103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05" xfId="0" applyFont="1" applyBorder="1"/>
    <xf numFmtId="0" fontId="8" fillId="0" borderId="39" xfId="0" applyFont="1" applyBorder="1" applyAlignment="1">
      <alignment wrapText="1"/>
    </xf>
    <xf numFmtId="0" fontId="11" fillId="0" borderId="67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0" borderId="109" xfId="0" applyFont="1" applyBorder="1" applyAlignment="1">
      <alignment wrapText="1"/>
    </xf>
    <xf numFmtId="0" fontId="11" fillId="0" borderId="109" xfId="0" applyFont="1" applyBorder="1" applyAlignment="1">
      <alignment horizontal="center"/>
    </xf>
    <xf numFmtId="0" fontId="11" fillId="0" borderId="107" xfId="0" applyFont="1" applyBorder="1" applyAlignment="1">
      <alignment horizontal="center"/>
    </xf>
    <xf numFmtId="0" fontId="11" fillId="0" borderId="110" xfId="0" applyFont="1" applyBorder="1" applyAlignment="1">
      <alignment vertical="center"/>
    </xf>
    <xf numFmtId="0" fontId="11" fillId="0" borderId="111" xfId="0" applyFont="1" applyBorder="1" applyAlignment="1">
      <alignment vertical="center"/>
    </xf>
    <xf numFmtId="0" fontId="11" fillId="0" borderId="111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2" fontId="15" fillId="0" borderId="113" xfId="0" applyNumberFormat="1" applyFont="1" applyBorder="1" applyAlignment="1">
      <alignment horizontal="center" vertical="center"/>
    </xf>
    <xf numFmtId="2" fontId="15" fillId="0" borderId="114" xfId="0" applyNumberFormat="1" applyFont="1" applyBorder="1" applyAlignment="1">
      <alignment horizontal="center" vertical="center"/>
    </xf>
    <xf numFmtId="2" fontId="15" fillId="0" borderId="115" xfId="0" applyNumberFormat="1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/>
    </xf>
    <xf numFmtId="2" fontId="15" fillId="0" borderId="50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0" fontId="11" fillId="4" borderId="99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2" fontId="13" fillId="0" borderId="40" xfId="0" applyNumberFormat="1" applyFont="1" applyBorder="1" applyAlignment="1">
      <alignment horizontal="center" vertical="center"/>
    </xf>
    <xf numFmtId="2" fontId="13" fillId="0" borderId="42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0" borderId="7" xfId="0" applyFont="1" applyBorder="1"/>
    <xf numFmtId="0" fontId="6" fillId="0" borderId="5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39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2" fontId="13" fillId="0" borderId="49" xfId="0" applyNumberFormat="1" applyFont="1" applyBorder="1" applyAlignment="1">
      <alignment horizontal="center" vertical="center"/>
    </xf>
    <xf numFmtId="2" fontId="13" fillId="0" borderId="4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2" fontId="13" fillId="0" borderId="51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4" fillId="0" borderId="5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2" fontId="13" fillId="0" borderId="40" xfId="0" applyNumberFormat="1" applyFont="1" applyBorder="1" applyAlignment="1">
      <alignment horizontal="center"/>
    </xf>
    <xf numFmtId="2" fontId="13" fillId="0" borderId="41" xfId="0" applyNumberFormat="1" applyFont="1" applyBorder="1" applyAlignment="1">
      <alignment horizontal="center"/>
    </xf>
    <xf numFmtId="0" fontId="4" fillId="0" borderId="7" xfId="0" applyFont="1" applyBorder="1"/>
    <xf numFmtId="0" fontId="0" fillId="0" borderId="5" xfId="0" applyBorder="1"/>
    <xf numFmtId="2" fontId="13" fillId="0" borderId="44" xfId="0" applyNumberFormat="1" applyFont="1" applyBorder="1" applyAlignment="1">
      <alignment horizontal="center" vertical="center"/>
    </xf>
    <xf numFmtId="2" fontId="13" fillId="0" borderId="45" xfId="0" applyNumberFormat="1" applyFont="1" applyBorder="1" applyAlignment="1">
      <alignment horizontal="center" vertical="center"/>
    </xf>
    <xf numFmtId="2" fontId="13" fillId="0" borderId="52" xfId="0" applyNumberFormat="1" applyFont="1" applyBorder="1" applyAlignment="1">
      <alignment horizontal="center" vertical="center"/>
    </xf>
    <xf numFmtId="2" fontId="13" fillId="0" borderId="5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13" fillId="0" borderId="47" xfId="0" applyNumberFormat="1" applyFont="1" applyBorder="1" applyAlignment="1">
      <alignment horizontal="center"/>
    </xf>
    <xf numFmtId="2" fontId="13" fillId="0" borderId="48" xfId="0" applyNumberFormat="1" applyFont="1" applyBorder="1" applyAlignment="1">
      <alignment horizontal="center"/>
    </xf>
    <xf numFmtId="0" fontId="11" fillId="0" borderId="5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78" xfId="0" applyFont="1" applyBorder="1" applyAlignment="1">
      <alignment horizontal="center" vertical="center"/>
    </xf>
    <xf numFmtId="2" fontId="15" fillId="0" borderId="79" xfId="0" applyNumberFormat="1" applyFont="1" applyBorder="1" applyAlignment="1">
      <alignment horizontal="center" vertical="center"/>
    </xf>
    <xf numFmtId="2" fontId="15" fillId="0" borderId="39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5" fillId="0" borderId="80" xfId="0" applyNumberFormat="1" applyFont="1" applyBorder="1" applyAlignment="1">
      <alignment horizontal="center" vertical="center"/>
    </xf>
    <xf numFmtId="2" fontId="15" fillId="0" borderId="49" xfId="0" applyNumberFormat="1" applyFont="1" applyBorder="1" applyAlignment="1">
      <alignment horizontal="center" vertical="center"/>
    </xf>
    <xf numFmtId="2" fontId="15" fillId="0" borderId="48" xfId="0" applyNumberFormat="1" applyFont="1" applyBorder="1" applyAlignment="1">
      <alignment horizontal="center" vertical="center"/>
    </xf>
    <xf numFmtId="2" fontId="15" fillId="0" borderId="77" xfId="0" applyNumberFormat="1" applyFont="1" applyBorder="1" applyAlignment="1">
      <alignment horizontal="center" vertical="center"/>
    </xf>
    <xf numFmtId="2" fontId="15" fillId="0" borderId="67" xfId="0" applyNumberFormat="1" applyFont="1" applyBorder="1" applyAlignment="1">
      <alignment horizontal="center" vertical="center"/>
    </xf>
    <xf numFmtId="2" fontId="15" fillId="0" borderId="60" xfId="0" applyNumberFormat="1" applyFont="1" applyBorder="1" applyAlignment="1">
      <alignment horizontal="center" vertical="center"/>
    </xf>
    <xf numFmtId="0" fontId="4" fillId="0" borderId="75" xfId="0" applyFont="1" applyBorder="1"/>
    <xf numFmtId="0" fontId="4" fillId="0" borderId="97" xfId="0" applyFont="1" applyBorder="1"/>
    <xf numFmtId="0" fontId="0" fillId="0" borderId="97" xfId="0" applyBorder="1"/>
    <xf numFmtId="0" fontId="11" fillId="5" borderId="96" xfId="0" applyFont="1" applyFill="1" applyBorder="1" applyAlignment="1">
      <alignment horizontal="center" vertical="center"/>
    </xf>
    <xf numFmtId="0" fontId="11" fillId="5" borderId="67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2" fontId="15" fillId="0" borderId="82" xfId="0" applyNumberFormat="1" applyFont="1" applyBorder="1" applyAlignment="1">
      <alignment horizontal="center" vertical="center"/>
    </xf>
    <xf numFmtId="2" fontId="15" fillId="0" borderId="81" xfId="0" applyNumberFormat="1" applyFont="1" applyBorder="1" applyAlignment="1">
      <alignment horizontal="center" vertical="center"/>
    </xf>
    <xf numFmtId="2" fontId="15" fillId="0" borderId="83" xfId="0" applyNumberFormat="1" applyFont="1" applyBorder="1" applyAlignment="1">
      <alignment horizontal="center" vertical="center"/>
    </xf>
    <xf numFmtId="44" fontId="4" fillId="0" borderId="3" xfId="1" applyFont="1" applyBorder="1" applyAlignment="1">
      <alignment horizontal="left"/>
    </xf>
    <xf numFmtId="44" fontId="4" fillId="0" borderId="5" xfId="1" applyFont="1" applyBorder="1" applyAlignment="1">
      <alignment horizontal="left"/>
    </xf>
    <xf numFmtId="44" fontId="4" fillId="0" borderId="6" xfId="1" applyFont="1" applyBorder="1" applyAlignment="1">
      <alignment horizontal="left"/>
    </xf>
    <xf numFmtId="0" fontId="11" fillId="3" borderId="88" xfId="0" applyFont="1" applyFill="1" applyBorder="1" applyAlignment="1">
      <alignment horizontal="center" vertical="center"/>
    </xf>
    <xf numFmtId="0" fontId="11" fillId="3" borderId="9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89" xfId="0" applyFont="1" applyFill="1" applyBorder="1" applyAlignment="1">
      <alignment horizontal="center" vertical="center"/>
    </xf>
    <xf numFmtId="0" fontId="11" fillId="3" borderId="92" xfId="0" applyFont="1" applyFill="1" applyBorder="1" applyAlignment="1">
      <alignment horizontal="center" vertical="center"/>
    </xf>
    <xf numFmtId="0" fontId="11" fillId="3" borderId="94" xfId="0" applyFont="1" applyFill="1" applyBorder="1" applyAlignment="1">
      <alignment horizontal="center" vertical="center"/>
    </xf>
    <xf numFmtId="0" fontId="11" fillId="3" borderId="90" xfId="0" applyFont="1" applyFill="1" applyBorder="1" applyAlignment="1">
      <alignment horizontal="center" vertical="center"/>
    </xf>
    <xf numFmtId="0" fontId="11" fillId="3" borderId="93" xfId="0" applyFont="1" applyFill="1" applyBorder="1" applyAlignment="1">
      <alignment horizontal="center" vertical="center"/>
    </xf>
    <xf numFmtId="0" fontId="11" fillId="3" borderId="95" xfId="0" applyFont="1" applyFill="1" applyBorder="1" applyAlignment="1">
      <alignment horizontal="center" vertical="center"/>
    </xf>
    <xf numFmtId="0" fontId="4" fillId="0" borderId="9" xfId="0" applyFont="1" applyBorder="1"/>
    <xf numFmtId="0" fontId="0" fillId="0" borderId="86" xfId="0" applyBorder="1"/>
    <xf numFmtId="0" fontId="11" fillId="0" borderId="83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2" fontId="15" fillId="0" borderId="118" xfId="0" applyNumberFormat="1" applyFont="1" applyBorder="1" applyAlignment="1">
      <alignment horizontal="center" vertical="center"/>
    </xf>
    <xf numFmtId="0" fontId="4" fillId="0" borderId="3" xfId="0" applyFont="1" applyBorder="1"/>
    <xf numFmtId="0" fontId="0" fillId="0" borderId="6" xfId="0" applyBorder="1"/>
    <xf numFmtId="2" fontId="15" fillId="0" borderId="44" xfId="0" applyNumberFormat="1" applyFont="1" applyBorder="1" applyAlignment="1">
      <alignment horizontal="center" vertical="center"/>
    </xf>
    <xf numFmtId="2" fontId="15" fillId="0" borderId="119" xfId="0" applyNumberFormat="1" applyFont="1" applyBorder="1" applyAlignment="1">
      <alignment horizontal="center" vertical="center"/>
    </xf>
    <xf numFmtId="2" fontId="15" fillId="0" borderId="116" xfId="0" applyNumberFormat="1" applyFont="1" applyBorder="1" applyAlignment="1">
      <alignment horizontal="center" vertical="center"/>
    </xf>
    <xf numFmtId="2" fontId="15" fillId="0" borderId="117" xfId="0" applyNumberFormat="1" applyFont="1" applyBorder="1" applyAlignment="1">
      <alignment horizontal="center" vertical="center"/>
    </xf>
    <xf numFmtId="2" fontId="15" fillId="0" borderId="120" xfId="0" applyNumberFormat="1" applyFont="1" applyBorder="1" applyAlignment="1">
      <alignment horizontal="center" vertical="center"/>
    </xf>
    <xf numFmtId="2" fontId="15" fillId="0" borderId="40" xfId="0" applyNumberFormat="1" applyFont="1" applyBorder="1" applyAlignment="1">
      <alignment horizontal="center" vertical="center"/>
    </xf>
    <xf numFmtId="2" fontId="15" fillId="0" borderId="41" xfId="0" applyNumberFormat="1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06" xfId="0" applyNumberFormat="1" applyFont="1" applyBorder="1" applyAlignment="1">
      <alignment horizontal="center" vertical="center"/>
    </xf>
    <xf numFmtId="2" fontId="15" fillId="0" borderId="47" xfId="0" applyNumberFormat="1" applyFont="1" applyBorder="1" applyAlignment="1">
      <alignment horizontal="center" vertical="center"/>
    </xf>
    <xf numFmtId="2" fontId="15" fillId="0" borderId="108" xfId="0" applyNumberFormat="1" applyFont="1" applyBorder="1" applyAlignment="1">
      <alignment horizontal="center" vertical="center"/>
    </xf>
    <xf numFmtId="2" fontId="15" fillId="0" borderId="42" xfId="0" applyNumberFormat="1" applyFont="1" applyBorder="1" applyAlignment="1">
      <alignment horizontal="center" vertical="center"/>
    </xf>
    <xf numFmtId="2" fontId="15" fillId="0" borderId="107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586165</xdr:colOff>
      <xdr:row>31</xdr:row>
      <xdr:rowOff>14229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B6475-C88A-4C2C-827B-1FAF6CC1B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949365" cy="59197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e.mt.ads\HHS\Shared\CFSD\Region4\Helena\Central\OFS\Budget%20Status%20Rpts\SFY%202020\Data%20Requests\CASELOAD\Caseload_10_April_%20FY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"/>
      <sheetName val="Region 1 "/>
      <sheetName val="Region 2"/>
      <sheetName val="Region 3"/>
      <sheetName val="Region 4"/>
      <sheetName val="Region 5"/>
      <sheetName val="Region 6"/>
      <sheetName val="Sheet3"/>
      <sheetName val="FTE"/>
      <sheetName val="Case Load Statewide"/>
      <sheetName val="Caseload Counts"/>
      <sheetName val="Sheet1"/>
      <sheetName val="Raw Data Placements"/>
      <sheetName val="Raw Data Voluntary"/>
      <sheetName val="Report Referrals"/>
      <sheetName val="Caseload Histo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Counties</v>
          </cell>
          <cell r="B1" t="str">
            <v>Voluntary</v>
          </cell>
          <cell r="C1" t="str">
            <v>Kids in Care</v>
          </cell>
          <cell r="D1" t="str">
            <v>Total</v>
          </cell>
        </row>
        <row r="2">
          <cell r="A2" t="str">
            <v>Roosevelt</v>
          </cell>
          <cell r="B2">
            <v>1</v>
          </cell>
          <cell r="C2">
            <v>168</v>
          </cell>
          <cell r="D2">
            <v>169</v>
          </cell>
        </row>
        <row r="3">
          <cell r="A3" t="str">
            <v>Sheridan</v>
          </cell>
          <cell r="B3">
            <v>0</v>
          </cell>
          <cell r="C3">
            <v>5</v>
          </cell>
          <cell r="D3">
            <v>5</v>
          </cell>
        </row>
        <row r="4">
          <cell r="A4" t="str">
            <v>Daniels</v>
          </cell>
          <cell r="B4">
            <v>0</v>
          </cell>
          <cell r="C4">
            <v>2</v>
          </cell>
          <cell r="D4">
            <v>2</v>
          </cell>
        </row>
        <row r="5">
          <cell r="A5" t="str">
            <v>Richland</v>
          </cell>
          <cell r="B5">
            <v>0</v>
          </cell>
          <cell r="C5">
            <v>24</v>
          </cell>
          <cell r="D5">
            <v>24</v>
          </cell>
        </row>
        <row r="6">
          <cell r="A6" t="str">
            <v>Blaine</v>
          </cell>
          <cell r="B6" t="str">
            <v>0</v>
          </cell>
          <cell r="C6">
            <v>3</v>
          </cell>
          <cell r="D6">
            <v>3</v>
          </cell>
        </row>
        <row r="7">
          <cell r="A7" t="str">
            <v>Valley</v>
          </cell>
          <cell r="B7">
            <v>1</v>
          </cell>
          <cell r="C7">
            <v>37</v>
          </cell>
          <cell r="D7">
            <v>38</v>
          </cell>
        </row>
        <row r="8">
          <cell r="A8" t="str">
            <v>McCone</v>
          </cell>
          <cell r="B8" t="str">
            <v>0</v>
          </cell>
          <cell r="C8">
            <v>0</v>
          </cell>
          <cell r="D8">
            <v>0</v>
          </cell>
        </row>
        <row r="9">
          <cell r="A9" t="str">
            <v>Phillips</v>
          </cell>
          <cell r="B9" t="str">
            <v>0</v>
          </cell>
          <cell r="C9">
            <v>13</v>
          </cell>
          <cell r="D9">
            <v>13</v>
          </cell>
        </row>
        <row r="10">
          <cell r="A10" t="str">
            <v>Custer</v>
          </cell>
          <cell r="B10">
            <v>1</v>
          </cell>
          <cell r="C10">
            <v>40</v>
          </cell>
          <cell r="D10">
            <v>41</v>
          </cell>
        </row>
        <row r="11">
          <cell r="A11" t="str">
            <v>Garfield</v>
          </cell>
          <cell r="B11">
            <v>0</v>
          </cell>
          <cell r="C11">
            <v>0</v>
          </cell>
          <cell r="D11">
            <v>0</v>
          </cell>
        </row>
        <row r="12">
          <cell r="A12" t="str">
            <v>Powder River</v>
          </cell>
          <cell r="B12">
            <v>0</v>
          </cell>
          <cell r="C12">
            <v>0</v>
          </cell>
          <cell r="D12">
            <v>0</v>
          </cell>
        </row>
        <row r="13">
          <cell r="A13" t="str">
            <v>Prairie</v>
          </cell>
          <cell r="B13">
            <v>0</v>
          </cell>
          <cell r="C13">
            <v>0</v>
          </cell>
          <cell r="D13">
            <v>0</v>
          </cell>
        </row>
        <row r="14">
          <cell r="A14" t="str">
            <v>Fallon</v>
          </cell>
          <cell r="B14">
            <v>0</v>
          </cell>
          <cell r="C14">
            <v>9</v>
          </cell>
          <cell r="D14">
            <v>9</v>
          </cell>
        </row>
        <row r="15">
          <cell r="A15" t="str">
            <v>Carter</v>
          </cell>
          <cell r="B15" t="str">
            <v>0</v>
          </cell>
          <cell r="C15">
            <v>0</v>
          </cell>
          <cell r="D15">
            <v>0</v>
          </cell>
        </row>
        <row r="16">
          <cell r="A16" t="str">
            <v>Rosebud</v>
          </cell>
          <cell r="B16">
            <v>1</v>
          </cell>
          <cell r="C16">
            <v>27</v>
          </cell>
          <cell r="D16">
            <v>28</v>
          </cell>
        </row>
        <row r="17">
          <cell r="A17" t="str">
            <v>Treasure</v>
          </cell>
          <cell r="B17" t="str">
            <v>0</v>
          </cell>
          <cell r="C17">
            <v>3</v>
          </cell>
          <cell r="D17">
            <v>3</v>
          </cell>
        </row>
        <row r="18">
          <cell r="A18" t="str">
            <v>Dawson</v>
          </cell>
          <cell r="B18">
            <v>1</v>
          </cell>
          <cell r="C18">
            <v>18</v>
          </cell>
          <cell r="D18">
            <v>19</v>
          </cell>
        </row>
        <row r="19">
          <cell r="A19" t="str">
            <v>Wibaux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>Cascade</v>
          </cell>
          <cell r="B20">
            <v>2</v>
          </cell>
          <cell r="C20">
            <v>611</v>
          </cell>
          <cell r="D20">
            <v>613</v>
          </cell>
        </row>
        <row r="21">
          <cell r="A21" t="str">
            <v>Glacier</v>
          </cell>
          <cell r="B21">
            <v>0</v>
          </cell>
          <cell r="C21">
            <v>30</v>
          </cell>
          <cell r="D21">
            <v>30</v>
          </cell>
        </row>
        <row r="22">
          <cell r="A22" t="str">
            <v>Toole</v>
          </cell>
          <cell r="B22">
            <v>0</v>
          </cell>
          <cell r="C22">
            <v>6</v>
          </cell>
          <cell r="D22">
            <v>6</v>
          </cell>
        </row>
        <row r="23">
          <cell r="A23" t="str">
            <v>Pondera</v>
          </cell>
          <cell r="B23">
            <v>0</v>
          </cell>
          <cell r="C23">
            <v>9</v>
          </cell>
          <cell r="D23">
            <v>9</v>
          </cell>
        </row>
        <row r="24">
          <cell r="A24" t="str">
            <v>Teton</v>
          </cell>
          <cell r="B24">
            <v>0</v>
          </cell>
          <cell r="C24">
            <v>9</v>
          </cell>
          <cell r="D24">
            <v>9</v>
          </cell>
        </row>
        <row r="25">
          <cell r="A25" t="str">
            <v>Hill</v>
          </cell>
          <cell r="B25">
            <v>0</v>
          </cell>
          <cell r="C25">
            <v>31</v>
          </cell>
          <cell r="D25">
            <v>31</v>
          </cell>
        </row>
        <row r="26">
          <cell r="A26" t="str">
            <v>Liberty</v>
          </cell>
          <cell r="B26" t="str">
            <v>0</v>
          </cell>
          <cell r="C26">
            <v>0</v>
          </cell>
          <cell r="D26">
            <v>0</v>
          </cell>
        </row>
        <row r="27">
          <cell r="A27" t="str">
            <v>Chouteau</v>
          </cell>
          <cell r="B27">
            <v>0</v>
          </cell>
          <cell r="C27">
            <v>1</v>
          </cell>
          <cell r="D27">
            <v>1</v>
          </cell>
        </row>
        <row r="28">
          <cell r="A28" t="str">
            <v>Yellowstone</v>
          </cell>
          <cell r="B28">
            <v>24</v>
          </cell>
          <cell r="C28">
            <v>716</v>
          </cell>
          <cell r="D28">
            <v>740</v>
          </cell>
        </row>
        <row r="29">
          <cell r="A29" t="str">
            <v>Stillwater</v>
          </cell>
          <cell r="B29" t="str">
            <v>0</v>
          </cell>
          <cell r="C29">
            <v>2</v>
          </cell>
          <cell r="D29">
            <v>2</v>
          </cell>
        </row>
        <row r="30">
          <cell r="A30" t="str">
            <v>Carbon</v>
          </cell>
          <cell r="B30" t="str">
            <v>0</v>
          </cell>
          <cell r="C30">
            <v>15</v>
          </cell>
          <cell r="D30">
            <v>15</v>
          </cell>
        </row>
        <row r="31">
          <cell r="A31" t="str">
            <v>Big Horn</v>
          </cell>
          <cell r="B31">
            <v>4</v>
          </cell>
          <cell r="C31">
            <v>72</v>
          </cell>
          <cell r="D31">
            <v>76</v>
          </cell>
        </row>
        <row r="32">
          <cell r="A32" t="str">
            <v>Wheatland</v>
          </cell>
          <cell r="B32">
            <v>0</v>
          </cell>
          <cell r="C32">
            <v>4</v>
          </cell>
          <cell r="D32">
            <v>4</v>
          </cell>
        </row>
        <row r="33">
          <cell r="A33" t="str">
            <v>Golden Valley</v>
          </cell>
          <cell r="B33">
            <v>0</v>
          </cell>
          <cell r="C33">
            <v>0</v>
          </cell>
          <cell r="D33">
            <v>0</v>
          </cell>
        </row>
        <row r="34">
          <cell r="A34" t="str">
            <v>Judith Basin</v>
          </cell>
          <cell r="B34" t="str">
            <v>0</v>
          </cell>
          <cell r="C34">
            <v>1</v>
          </cell>
          <cell r="D34">
            <v>1</v>
          </cell>
        </row>
        <row r="35">
          <cell r="A35" t="str">
            <v>Meagher</v>
          </cell>
          <cell r="B35" t="str">
            <v>0</v>
          </cell>
          <cell r="C35">
            <v>0</v>
          </cell>
          <cell r="D35">
            <v>0</v>
          </cell>
        </row>
        <row r="36">
          <cell r="A36" t="str">
            <v>Fergus</v>
          </cell>
          <cell r="B36">
            <v>3</v>
          </cell>
          <cell r="C36">
            <v>27</v>
          </cell>
          <cell r="D36">
            <v>30</v>
          </cell>
        </row>
        <row r="37">
          <cell r="A37" t="str">
            <v>Petroleum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Musselshell</v>
          </cell>
          <cell r="B38">
            <v>0</v>
          </cell>
          <cell r="C38">
            <v>5</v>
          </cell>
          <cell r="D38">
            <v>5</v>
          </cell>
        </row>
        <row r="39">
          <cell r="A39" t="str">
            <v>Silver Bow</v>
          </cell>
          <cell r="B39">
            <v>7</v>
          </cell>
          <cell r="C39">
            <v>248</v>
          </cell>
          <cell r="D39">
            <v>255</v>
          </cell>
        </row>
        <row r="40">
          <cell r="A40" t="str">
            <v>Deer Lodge</v>
          </cell>
          <cell r="B40">
            <v>0</v>
          </cell>
          <cell r="C40">
            <v>17</v>
          </cell>
          <cell r="D40">
            <v>17</v>
          </cell>
        </row>
        <row r="41">
          <cell r="A41" t="str">
            <v>Powell</v>
          </cell>
          <cell r="B41">
            <v>1</v>
          </cell>
          <cell r="C41">
            <v>16</v>
          </cell>
          <cell r="D41">
            <v>17</v>
          </cell>
        </row>
        <row r="42">
          <cell r="A42" t="str">
            <v>Granite</v>
          </cell>
          <cell r="B42">
            <v>0</v>
          </cell>
          <cell r="C42">
            <v>2</v>
          </cell>
          <cell r="D42">
            <v>2</v>
          </cell>
        </row>
        <row r="43">
          <cell r="A43" t="str">
            <v>Beaverhead</v>
          </cell>
          <cell r="B43">
            <v>3</v>
          </cell>
          <cell r="C43">
            <v>20</v>
          </cell>
          <cell r="D43">
            <v>23</v>
          </cell>
        </row>
        <row r="44">
          <cell r="A44" t="str">
            <v>Gallatin</v>
          </cell>
          <cell r="B44">
            <v>2</v>
          </cell>
          <cell r="C44">
            <v>102</v>
          </cell>
          <cell r="D44">
            <v>104</v>
          </cell>
        </row>
        <row r="45">
          <cell r="A45" t="str">
            <v>Madison</v>
          </cell>
          <cell r="B45">
            <v>0</v>
          </cell>
          <cell r="C45">
            <v>7</v>
          </cell>
          <cell r="D45">
            <v>7</v>
          </cell>
        </row>
        <row r="46">
          <cell r="A46" t="str">
            <v>Park</v>
          </cell>
          <cell r="B46">
            <v>3</v>
          </cell>
          <cell r="C46">
            <v>34</v>
          </cell>
          <cell r="D46">
            <v>37</v>
          </cell>
        </row>
        <row r="47">
          <cell r="A47" t="str">
            <v>Sweet Grass</v>
          </cell>
          <cell r="B47">
            <v>0</v>
          </cell>
          <cell r="C47">
            <v>5</v>
          </cell>
          <cell r="D47">
            <v>5</v>
          </cell>
        </row>
        <row r="48">
          <cell r="A48" t="str">
            <v>Lewis and Clark</v>
          </cell>
          <cell r="B48">
            <v>15</v>
          </cell>
          <cell r="C48">
            <v>165</v>
          </cell>
          <cell r="D48">
            <v>180</v>
          </cell>
        </row>
        <row r="49">
          <cell r="A49" t="str">
            <v>Broadwater</v>
          </cell>
          <cell r="B49">
            <v>0</v>
          </cell>
          <cell r="C49">
            <v>2</v>
          </cell>
          <cell r="D49">
            <v>2</v>
          </cell>
        </row>
        <row r="50">
          <cell r="A50" t="str">
            <v>Jefferson</v>
          </cell>
          <cell r="B50">
            <v>1</v>
          </cell>
          <cell r="C50">
            <v>8</v>
          </cell>
          <cell r="D50">
            <v>9</v>
          </cell>
        </row>
        <row r="51">
          <cell r="A51" t="str">
            <v>Flathead</v>
          </cell>
          <cell r="B51">
            <v>11</v>
          </cell>
          <cell r="C51">
            <v>172</v>
          </cell>
          <cell r="D51">
            <v>183</v>
          </cell>
        </row>
        <row r="52">
          <cell r="A52" t="str">
            <v>Lincoln</v>
          </cell>
          <cell r="B52">
            <v>14</v>
          </cell>
          <cell r="C52">
            <v>31</v>
          </cell>
          <cell r="D52">
            <v>45</v>
          </cell>
        </row>
        <row r="53">
          <cell r="A53" t="str">
            <v>Sanders</v>
          </cell>
          <cell r="B53">
            <v>2</v>
          </cell>
          <cell r="C53">
            <v>22</v>
          </cell>
          <cell r="D53">
            <v>24</v>
          </cell>
        </row>
        <row r="54">
          <cell r="A54" t="str">
            <v>Ravalli</v>
          </cell>
          <cell r="B54">
            <v>10</v>
          </cell>
          <cell r="C54">
            <v>61</v>
          </cell>
          <cell r="D54">
            <v>71</v>
          </cell>
        </row>
        <row r="55">
          <cell r="A55" t="str">
            <v>Missoula</v>
          </cell>
          <cell r="B55">
            <v>26</v>
          </cell>
          <cell r="C55">
            <v>185</v>
          </cell>
          <cell r="D55">
            <v>211</v>
          </cell>
        </row>
        <row r="56">
          <cell r="A56" t="str">
            <v>Mineral</v>
          </cell>
          <cell r="B56">
            <v>6</v>
          </cell>
          <cell r="C56">
            <v>14</v>
          </cell>
          <cell r="D56">
            <v>20</v>
          </cell>
        </row>
        <row r="57">
          <cell r="A57" t="str">
            <v>Lake</v>
          </cell>
          <cell r="B57">
            <v>5</v>
          </cell>
          <cell r="C57">
            <v>39</v>
          </cell>
          <cell r="D57">
            <v>44</v>
          </cell>
        </row>
      </sheetData>
      <sheetData sheetId="11" refreshError="1"/>
      <sheetData sheetId="12" refreshError="1"/>
      <sheetData sheetId="13" refreshError="1"/>
      <sheetData sheetId="14">
        <row r="2">
          <cell r="B2" t="str">
            <v>County</v>
          </cell>
          <cell r="C2" t="str">
            <v>Current Month</v>
          </cell>
        </row>
        <row r="3">
          <cell r="B3" t="str">
            <v>Big Horn</v>
          </cell>
          <cell r="C3">
            <v>7</v>
          </cell>
        </row>
        <row r="4">
          <cell r="B4" t="str">
            <v>Carter</v>
          </cell>
          <cell r="C4">
            <v>0</v>
          </cell>
        </row>
        <row r="5">
          <cell r="B5" t="str">
            <v>Custer</v>
          </cell>
          <cell r="C5">
            <v>10</v>
          </cell>
        </row>
        <row r="6">
          <cell r="B6" t="str">
            <v>Daniels</v>
          </cell>
          <cell r="C6">
            <v>0</v>
          </cell>
        </row>
        <row r="7">
          <cell r="B7" t="str">
            <v>Dawson</v>
          </cell>
          <cell r="C7">
            <v>5</v>
          </cell>
        </row>
        <row r="8">
          <cell r="B8" t="str">
            <v>Fallon</v>
          </cell>
          <cell r="C8">
            <v>0</v>
          </cell>
        </row>
        <row r="9">
          <cell r="B9" t="str">
            <v>Garfield</v>
          </cell>
          <cell r="C9">
            <v>0</v>
          </cell>
        </row>
        <row r="10">
          <cell r="B10" t="str">
            <v>McCone</v>
          </cell>
          <cell r="C10">
            <v>0</v>
          </cell>
        </row>
        <row r="11">
          <cell r="B11" t="str">
            <v>Phillips</v>
          </cell>
          <cell r="C11">
            <v>2</v>
          </cell>
        </row>
        <row r="12">
          <cell r="B12" t="str">
            <v>Powder River</v>
          </cell>
          <cell r="C12">
            <v>0</v>
          </cell>
        </row>
        <row r="13">
          <cell r="B13" t="str">
            <v>Prairie</v>
          </cell>
          <cell r="C13">
            <v>1</v>
          </cell>
        </row>
        <row r="14">
          <cell r="B14" t="str">
            <v>Richland</v>
          </cell>
          <cell r="C14">
            <v>12</v>
          </cell>
        </row>
        <row r="15">
          <cell r="B15" t="str">
            <v>Roosevelt</v>
          </cell>
          <cell r="C15">
            <v>5</v>
          </cell>
        </row>
        <row r="16">
          <cell r="B16" t="str">
            <v>Rosebud</v>
          </cell>
          <cell r="C16">
            <v>4</v>
          </cell>
        </row>
        <row r="17">
          <cell r="B17" t="str">
            <v>Sheridan</v>
          </cell>
          <cell r="C17">
            <v>4</v>
          </cell>
        </row>
        <row r="18">
          <cell r="B18" t="str">
            <v>Treasure</v>
          </cell>
          <cell r="C18">
            <v>1</v>
          </cell>
        </row>
        <row r="19">
          <cell r="B19" t="str">
            <v>Valley</v>
          </cell>
          <cell r="C19">
            <v>4</v>
          </cell>
        </row>
        <row r="20">
          <cell r="B20" t="str">
            <v>Wibaux</v>
          </cell>
          <cell r="C20">
            <v>0</v>
          </cell>
        </row>
        <row r="21">
          <cell r="B21" t="str">
            <v>Blaine</v>
          </cell>
          <cell r="C21">
            <v>4</v>
          </cell>
        </row>
        <row r="22">
          <cell r="B22" t="str">
            <v>Cascade</v>
          </cell>
          <cell r="C22">
            <v>82</v>
          </cell>
        </row>
        <row r="23">
          <cell r="B23" t="str">
            <v>Chouteau</v>
          </cell>
          <cell r="C23">
            <v>2</v>
          </cell>
        </row>
        <row r="24">
          <cell r="B24" t="str">
            <v>Fergus</v>
          </cell>
          <cell r="C24">
            <v>7</v>
          </cell>
        </row>
        <row r="25">
          <cell r="B25" t="str">
            <v>Golden Valley</v>
          </cell>
          <cell r="C25">
            <v>0</v>
          </cell>
        </row>
        <row r="26">
          <cell r="B26" t="str">
            <v>Hill</v>
          </cell>
          <cell r="C26">
            <v>5</v>
          </cell>
        </row>
        <row r="27">
          <cell r="B27" t="str">
            <v>Judith Basin</v>
          </cell>
          <cell r="C27">
            <v>1</v>
          </cell>
        </row>
        <row r="28">
          <cell r="B28" t="str">
            <v>Liberty</v>
          </cell>
          <cell r="C28">
            <v>0</v>
          </cell>
        </row>
        <row r="29">
          <cell r="B29" t="str">
            <v>Musselshell</v>
          </cell>
          <cell r="C29">
            <v>1</v>
          </cell>
        </row>
        <row r="30">
          <cell r="B30" t="str">
            <v>Petroleum</v>
          </cell>
          <cell r="C30">
            <v>0</v>
          </cell>
        </row>
        <row r="31">
          <cell r="B31" t="str">
            <v>Wheatland</v>
          </cell>
          <cell r="C31">
            <v>0</v>
          </cell>
        </row>
        <row r="32">
          <cell r="B32" t="str">
            <v>Carbon</v>
          </cell>
          <cell r="C32">
            <v>2</v>
          </cell>
        </row>
        <row r="33">
          <cell r="B33" t="str">
            <v>Stillwater</v>
          </cell>
          <cell r="C33">
            <v>5</v>
          </cell>
        </row>
        <row r="34">
          <cell r="B34" t="str">
            <v>Yellowstone</v>
          </cell>
          <cell r="C34">
            <v>119</v>
          </cell>
        </row>
        <row r="35">
          <cell r="B35" t="str">
            <v>Beaverhead</v>
          </cell>
          <cell r="C35">
            <v>3</v>
          </cell>
        </row>
        <row r="36">
          <cell r="B36" t="str">
            <v>Broadwater</v>
          </cell>
          <cell r="C36">
            <v>2</v>
          </cell>
        </row>
        <row r="37">
          <cell r="B37" t="str">
            <v>Deer Lodge</v>
          </cell>
          <cell r="C37">
            <v>7</v>
          </cell>
        </row>
        <row r="38">
          <cell r="B38" t="str">
            <v>Gallatin</v>
          </cell>
          <cell r="C38">
            <v>43</v>
          </cell>
        </row>
        <row r="39">
          <cell r="B39" t="str">
            <v>Jefferson</v>
          </cell>
          <cell r="C39">
            <v>6</v>
          </cell>
        </row>
        <row r="40">
          <cell r="B40" t="str">
            <v>Lewis &amp; Clark</v>
          </cell>
          <cell r="C40">
            <v>62</v>
          </cell>
        </row>
        <row r="41">
          <cell r="B41" t="str">
            <v>Madison</v>
          </cell>
          <cell r="C41">
            <v>3</v>
          </cell>
        </row>
        <row r="42">
          <cell r="B42" t="str">
            <v>Meagher</v>
          </cell>
          <cell r="C42">
            <v>1</v>
          </cell>
        </row>
        <row r="43">
          <cell r="B43" t="str">
            <v>Park</v>
          </cell>
          <cell r="C43">
            <v>10</v>
          </cell>
        </row>
        <row r="44">
          <cell r="B44" t="str">
            <v>Silver Bow</v>
          </cell>
          <cell r="C44">
            <v>49</v>
          </cell>
        </row>
        <row r="45">
          <cell r="B45" t="str">
            <v>Sweet Grass</v>
          </cell>
          <cell r="C45">
            <v>3</v>
          </cell>
        </row>
        <row r="46">
          <cell r="B46" t="str">
            <v>Granite</v>
          </cell>
          <cell r="C46">
            <v>1</v>
          </cell>
        </row>
        <row r="47">
          <cell r="B47" t="str">
            <v>Lake</v>
          </cell>
          <cell r="C47">
            <v>9</v>
          </cell>
        </row>
        <row r="48">
          <cell r="B48" t="str">
            <v>Mineral</v>
          </cell>
          <cell r="C48">
            <v>2</v>
          </cell>
        </row>
        <row r="49">
          <cell r="B49" t="str">
            <v>Missoula</v>
          </cell>
          <cell r="C49">
            <v>48</v>
          </cell>
        </row>
        <row r="50">
          <cell r="B50" t="str">
            <v>Powell</v>
          </cell>
          <cell r="C50">
            <v>5</v>
          </cell>
        </row>
        <row r="51">
          <cell r="B51" t="str">
            <v>Ravalli</v>
          </cell>
          <cell r="C51">
            <v>17</v>
          </cell>
        </row>
        <row r="52">
          <cell r="B52" t="str">
            <v>Flathead</v>
          </cell>
          <cell r="C52">
            <v>70</v>
          </cell>
        </row>
        <row r="53">
          <cell r="B53" t="str">
            <v>Glacier</v>
          </cell>
          <cell r="C53">
            <v>6</v>
          </cell>
        </row>
        <row r="54">
          <cell r="B54" t="str">
            <v>Lincoln</v>
          </cell>
          <cell r="C54">
            <v>10</v>
          </cell>
        </row>
        <row r="55">
          <cell r="B55" t="str">
            <v>Pondera</v>
          </cell>
          <cell r="C55">
            <v>1</v>
          </cell>
        </row>
        <row r="56">
          <cell r="B56" t="str">
            <v>Sanders</v>
          </cell>
          <cell r="C56">
            <v>4</v>
          </cell>
        </row>
        <row r="57">
          <cell r="B57" t="str">
            <v>Teton</v>
          </cell>
          <cell r="C57">
            <v>4</v>
          </cell>
        </row>
        <row r="58">
          <cell r="B58" t="str">
            <v>Toole</v>
          </cell>
          <cell r="C58">
            <v>6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F7378-A9E3-446C-BEAB-4F3D69FB5A2B}">
  <dimension ref="A1"/>
  <sheetViews>
    <sheetView workbookViewId="0">
      <selection activeCell="X27" sqref="X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53C2-0DB2-4C42-ABD8-270E960F2844}">
  <dimension ref="A1:N32"/>
  <sheetViews>
    <sheetView workbookViewId="0">
      <selection sqref="A1:B3"/>
    </sheetView>
  </sheetViews>
  <sheetFormatPr defaultRowHeight="15" x14ac:dyDescent="0.25"/>
  <cols>
    <col min="1" max="1" width="34.5703125" bestFit="1" customWidth="1"/>
    <col min="2" max="2" width="19" customWidth="1"/>
    <col min="3" max="3" width="11.5703125" bestFit="1" customWidth="1"/>
    <col min="4" max="4" width="8.5703125" bestFit="1" customWidth="1"/>
    <col min="6" max="6" width="8.5703125" bestFit="1" customWidth="1"/>
    <col min="8" max="8" width="8.5703125" bestFit="1" customWidth="1"/>
    <col min="10" max="10" width="7.42578125" bestFit="1" customWidth="1"/>
    <col min="11" max="11" width="9.28515625" bestFit="1" customWidth="1"/>
    <col min="12" max="12" width="8.7109375" bestFit="1" customWidth="1"/>
    <col min="13" max="13" width="7.42578125" bestFit="1" customWidth="1"/>
    <col min="14" max="14" width="8" bestFit="1" customWidth="1"/>
  </cols>
  <sheetData>
    <row r="1" spans="1:14" x14ac:dyDescent="0.25">
      <c r="A1" s="1" t="s">
        <v>0</v>
      </c>
    </row>
    <row r="2" spans="1:14" x14ac:dyDescent="0.25">
      <c r="A2" t="s">
        <v>1</v>
      </c>
    </row>
    <row r="3" spans="1:14" x14ac:dyDescent="0.25">
      <c r="A3" t="s">
        <v>2</v>
      </c>
      <c r="B3" s="2">
        <v>43951</v>
      </c>
    </row>
    <row r="5" spans="1:14" ht="15.75" thickBot="1" x14ac:dyDescent="0.3"/>
    <row r="6" spans="1:14" ht="15.75" thickTop="1" x14ac:dyDescent="0.25">
      <c r="A6" s="178" t="s">
        <v>3</v>
      </c>
      <c r="B6" s="179"/>
      <c r="C6" s="9" t="s">
        <v>4</v>
      </c>
      <c r="D6" s="16" t="s">
        <v>5</v>
      </c>
      <c r="E6" s="171" t="s">
        <v>6</v>
      </c>
      <c r="F6" s="172"/>
      <c r="G6" s="172" t="s">
        <v>7</v>
      </c>
      <c r="H6" s="173"/>
      <c r="I6" s="171" t="s">
        <v>8</v>
      </c>
      <c r="J6" s="173"/>
      <c r="K6" s="174" t="s">
        <v>9</v>
      </c>
      <c r="L6" s="175"/>
      <c r="M6" s="175"/>
      <c r="N6" s="176"/>
    </row>
    <row r="7" spans="1:14" ht="60.75" thickBot="1" x14ac:dyDescent="0.3">
      <c r="A7" s="180"/>
      <c r="B7" s="181"/>
      <c r="C7" s="10" t="s">
        <v>10</v>
      </c>
      <c r="D7" s="17" t="s">
        <v>11</v>
      </c>
      <c r="E7" s="23" t="s">
        <v>12</v>
      </c>
      <c r="F7" s="28" t="s">
        <v>13</v>
      </c>
      <c r="G7" s="28" t="s">
        <v>14</v>
      </c>
      <c r="H7" s="32" t="s">
        <v>15</v>
      </c>
      <c r="I7" s="36" t="s">
        <v>16</v>
      </c>
      <c r="J7" s="38" t="s">
        <v>17</v>
      </c>
      <c r="K7" s="36" t="s">
        <v>18</v>
      </c>
      <c r="L7" s="40" t="s">
        <v>19</v>
      </c>
      <c r="M7" s="36" t="s">
        <v>20</v>
      </c>
      <c r="N7" s="17" t="s">
        <v>21</v>
      </c>
    </row>
    <row r="8" spans="1:14" ht="20.25" thickTop="1" x14ac:dyDescent="0.3">
      <c r="A8" s="3" t="s">
        <v>22</v>
      </c>
      <c r="B8" s="6" t="s">
        <v>23</v>
      </c>
      <c r="C8" s="11">
        <f>VLOOKUP("Roosevelt",'[1]Caseload Counts'!$A$1:$D$57,4,FALSE)</f>
        <v>169</v>
      </c>
      <c r="D8" s="18">
        <f>VLOOKUP("Roosevelt",referral,2,FALSE)</f>
        <v>5</v>
      </c>
      <c r="E8" s="24"/>
      <c r="F8" s="29"/>
      <c r="G8" s="29"/>
      <c r="H8" s="33"/>
      <c r="I8" s="144">
        <v>4</v>
      </c>
      <c r="J8" s="147">
        <v>5</v>
      </c>
      <c r="K8" s="150">
        <f>C9/I8</f>
        <v>42.25</v>
      </c>
      <c r="L8" s="153">
        <f>C9/J8</f>
        <v>33.799999999999997</v>
      </c>
      <c r="M8" s="150">
        <f>D9/I8</f>
        <v>1.25</v>
      </c>
      <c r="N8" s="137">
        <f>D9/J8</f>
        <v>1</v>
      </c>
    </row>
    <row r="9" spans="1:14" ht="17.25" thickBot="1" x14ac:dyDescent="0.3">
      <c r="A9" s="140" t="s">
        <v>24</v>
      </c>
      <c r="B9" s="141"/>
      <c r="C9" s="12">
        <f>SUM(C8:C8)</f>
        <v>169</v>
      </c>
      <c r="D9" s="19">
        <f>SUM(D8:D8)</f>
        <v>5</v>
      </c>
      <c r="E9" s="25"/>
      <c r="F9" s="30"/>
      <c r="G9" s="30"/>
      <c r="H9" s="34"/>
      <c r="I9" s="146"/>
      <c r="J9" s="149"/>
      <c r="K9" s="152"/>
      <c r="L9" s="155"/>
      <c r="M9" s="152"/>
      <c r="N9" s="139"/>
    </row>
    <row r="10" spans="1:14" ht="20.25" thickTop="1" x14ac:dyDescent="0.3">
      <c r="A10" s="4" t="s">
        <v>25</v>
      </c>
      <c r="B10" s="7" t="s">
        <v>26</v>
      </c>
      <c r="C10" s="13">
        <f>VLOOKUP("Big Horn",'[1]Caseload Counts'!$A$1:$D$57,4,FALSE)</f>
        <v>76</v>
      </c>
      <c r="D10" s="20">
        <f>VLOOKUP("Big Horn",referral,2,FALSE)</f>
        <v>7</v>
      </c>
      <c r="E10" s="26"/>
      <c r="F10" s="31"/>
      <c r="G10" s="31"/>
      <c r="H10" s="35"/>
      <c r="I10" s="144">
        <v>4</v>
      </c>
      <c r="J10" s="147">
        <v>4</v>
      </c>
      <c r="K10" s="150">
        <f>C11/I10</f>
        <v>19</v>
      </c>
      <c r="L10" s="153">
        <f>C11/J10</f>
        <v>19</v>
      </c>
      <c r="M10" s="150">
        <f>D11/I10</f>
        <v>1.75</v>
      </c>
      <c r="N10" s="137">
        <f>D11/J10</f>
        <v>1.75</v>
      </c>
    </row>
    <row r="11" spans="1:14" ht="17.25" thickBot="1" x14ac:dyDescent="0.3">
      <c r="A11" s="140" t="s">
        <v>24</v>
      </c>
      <c r="B11" s="141"/>
      <c r="C11" s="12">
        <f>SUM(C10:C10)</f>
        <v>76</v>
      </c>
      <c r="D11" s="19">
        <f>SUM(D10:D10)</f>
        <v>7</v>
      </c>
      <c r="E11" s="25"/>
      <c r="F11" s="30"/>
      <c r="G11" s="30"/>
      <c r="H11" s="34"/>
      <c r="I11" s="146"/>
      <c r="J11" s="149"/>
      <c r="K11" s="152"/>
      <c r="L11" s="155"/>
      <c r="M11" s="152"/>
      <c r="N11" s="139"/>
    </row>
    <row r="12" spans="1:14" ht="17.25" thickTop="1" x14ac:dyDescent="0.25">
      <c r="A12" s="177" t="s">
        <v>27</v>
      </c>
      <c r="B12" s="7" t="s">
        <v>28</v>
      </c>
      <c r="C12" s="13">
        <f>VLOOKUP("Phillips",'[1]Caseload Counts'!$A$1:$D$57,4,FALSE)</f>
        <v>13</v>
      </c>
      <c r="D12" s="20">
        <f>VLOOKUP("Phillips",referral,2,FALSE)</f>
        <v>2</v>
      </c>
      <c r="E12" s="26"/>
      <c r="F12" s="31"/>
      <c r="G12" s="31"/>
      <c r="H12" s="35"/>
      <c r="I12" s="144">
        <v>2</v>
      </c>
      <c r="J12" s="147">
        <v>4</v>
      </c>
      <c r="K12" s="163">
        <f>C14/I12</f>
        <v>25.5</v>
      </c>
      <c r="L12" s="153">
        <f>C14/J12</f>
        <v>12.75</v>
      </c>
      <c r="M12" s="168">
        <f>D14/I12</f>
        <v>3</v>
      </c>
      <c r="N12" s="137">
        <f>D14/J12</f>
        <v>1.5</v>
      </c>
    </row>
    <row r="13" spans="1:14" ht="16.5" x14ac:dyDescent="0.25">
      <c r="A13" s="177"/>
      <c r="B13" s="7" t="s">
        <v>29</v>
      </c>
      <c r="C13" s="13">
        <f>VLOOKUP("Valley",'[1]Caseload Counts'!$A$1:$D$57,4,FALSE)</f>
        <v>38</v>
      </c>
      <c r="D13" s="20">
        <f>VLOOKUP("valley",referral,2,FALSE)</f>
        <v>4</v>
      </c>
      <c r="E13" s="26"/>
      <c r="F13" s="31"/>
      <c r="G13" s="31"/>
      <c r="H13" s="35"/>
      <c r="I13" s="159"/>
      <c r="J13" s="161"/>
      <c r="K13" s="164"/>
      <c r="L13" s="166"/>
      <c r="M13" s="169"/>
      <c r="N13" s="161"/>
    </row>
    <row r="14" spans="1:14" ht="17.25" thickBot="1" x14ac:dyDescent="0.3">
      <c r="A14" s="140" t="s">
        <v>24</v>
      </c>
      <c r="B14" s="141"/>
      <c r="C14" s="12">
        <f>SUM(C12:C13)</f>
        <v>51</v>
      </c>
      <c r="D14" s="19">
        <f>SUM(D12:D13)</f>
        <v>6</v>
      </c>
      <c r="E14" s="25"/>
      <c r="F14" s="30"/>
      <c r="G14" s="30"/>
      <c r="H14" s="34"/>
      <c r="I14" s="160"/>
      <c r="J14" s="162"/>
      <c r="K14" s="165"/>
      <c r="L14" s="167"/>
      <c r="M14" s="170"/>
      <c r="N14" s="162"/>
    </row>
    <row r="15" spans="1:14" ht="17.25" thickTop="1" x14ac:dyDescent="0.25">
      <c r="A15" s="156" t="s">
        <v>30</v>
      </c>
      <c r="B15" s="7" t="s">
        <v>31</v>
      </c>
      <c r="C15" s="14">
        <f>VLOOKUP("Daniels",'[1]Caseload Counts'!$A$1:$D$57,4,FALSE)</f>
        <v>2</v>
      </c>
      <c r="D15" s="21">
        <f>VLOOKUP("Daniels",referral,2,FALSE)</f>
        <v>0</v>
      </c>
      <c r="E15" s="24"/>
      <c r="F15" s="29"/>
      <c r="G15" s="29"/>
      <c r="H15" s="33"/>
      <c r="I15" s="144">
        <v>3</v>
      </c>
      <c r="J15" s="147">
        <v>4</v>
      </c>
      <c r="K15" s="150">
        <f>C22/I15</f>
        <v>16.666666666666668</v>
      </c>
      <c r="L15" s="153">
        <f>C22/J15</f>
        <v>12.5</v>
      </c>
      <c r="M15" s="150">
        <f>D22/I15</f>
        <v>7.333333333333333</v>
      </c>
      <c r="N15" s="137">
        <f>D22/J15</f>
        <v>5.5</v>
      </c>
    </row>
    <row r="16" spans="1:14" ht="16.5" x14ac:dyDescent="0.25">
      <c r="A16" s="157"/>
      <c r="B16" s="7" t="s">
        <v>32</v>
      </c>
      <c r="C16" s="13">
        <f>VLOOKUP("Dawson",'[1]Caseload Counts'!$A$1:$D$57,4,FALSE)</f>
        <v>19</v>
      </c>
      <c r="D16" s="20">
        <f>VLOOKUP("Dawson",referral,2,FALSE)</f>
        <v>5</v>
      </c>
      <c r="E16" s="26"/>
      <c r="F16" s="31"/>
      <c r="G16" s="31"/>
      <c r="H16" s="35"/>
      <c r="I16" s="145"/>
      <c r="J16" s="148"/>
      <c r="K16" s="151"/>
      <c r="L16" s="154"/>
      <c r="M16" s="151"/>
      <c r="N16" s="138"/>
    </row>
    <row r="17" spans="1:14" ht="16.5" x14ac:dyDescent="0.25">
      <c r="A17" s="157"/>
      <c r="B17" s="7" t="s">
        <v>33</v>
      </c>
      <c r="C17" s="13">
        <f>VLOOKUP("McCone",'[1]Caseload Counts'!$A$1:$D$57,4,FALSE)</f>
        <v>0</v>
      </c>
      <c r="D17" s="20">
        <f>VLOOKUP("McCone",referral,2,FALSE)</f>
        <v>0</v>
      </c>
      <c r="E17" s="26"/>
      <c r="F17" s="31"/>
      <c r="G17" s="31"/>
      <c r="H17" s="35"/>
      <c r="I17" s="145"/>
      <c r="J17" s="148"/>
      <c r="K17" s="151" t="e">
        <f>C18/I17</f>
        <v>#DIV/0!</v>
      </c>
      <c r="L17" s="154"/>
      <c r="M17" s="151"/>
      <c r="N17" s="138"/>
    </row>
    <row r="18" spans="1:14" ht="16.5" x14ac:dyDescent="0.25">
      <c r="A18" s="157"/>
      <c r="B18" s="7" t="s">
        <v>34</v>
      </c>
      <c r="C18" s="13">
        <f>VLOOKUP("Prairie",'[1]Caseload Counts'!$A$1:$D$57,4,FALSE)</f>
        <v>0</v>
      </c>
      <c r="D18" s="20">
        <f>VLOOKUP("Prairie",referral,2,FALSE)</f>
        <v>1</v>
      </c>
      <c r="E18" s="26"/>
      <c r="F18" s="31"/>
      <c r="G18" s="31"/>
      <c r="H18" s="35"/>
      <c r="I18" s="145"/>
      <c r="J18" s="148"/>
      <c r="K18" s="151"/>
      <c r="L18" s="154"/>
      <c r="M18" s="151"/>
      <c r="N18" s="138"/>
    </row>
    <row r="19" spans="1:14" ht="16.5" x14ac:dyDescent="0.25">
      <c r="A19" s="157"/>
      <c r="B19" s="7" t="s">
        <v>35</v>
      </c>
      <c r="C19" s="13">
        <f>VLOOKUP("Richland",'[1]Caseload Counts'!$A$1:$D$57,4,FALSE)</f>
        <v>24</v>
      </c>
      <c r="D19" s="20">
        <f>VLOOKUP("Richland",referral,2,FALSE)</f>
        <v>12</v>
      </c>
      <c r="E19" s="26"/>
      <c r="F19" s="31"/>
      <c r="G19" s="31"/>
      <c r="H19" s="35"/>
      <c r="I19" s="145"/>
      <c r="J19" s="148"/>
      <c r="K19" s="151" t="e">
        <f>C22/I19</f>
        <v>#DIV/0!</v>
      </c>
      <c r="L19" s="154"/>
      <c r="M19" s="151"/>
      <c r="N19" s="138"/>
    </row>
    <row r="20" spans="1:14" ht="16.5" x14ac:dyDescent="0.25">
      <c r="A20" s="157"/>
      <c r="B20" s="7" t="s">
        <v>36</v>
      </c>
      <c r="C20" s="14">
        <f>VLOOKUP("Sheridan",'[1]Caseload Counts'!$A$1:$D$57,4,FALSE)</f>
        <v>5</v>
      </c>
      <c r="D20" s="21">
        <f>VLOOKUP("Sheridan",referral,2,FALSE)</f>
        <v>4</v>
      </c>
      <c r="E20" s="26"/>
      <c r="F20" s="31"/>
      <c r="G20" s="31"/>
      <c r="H20" s="35"/>
      <c r="I20" s="145"/>
      <c r="J20" s="148"/>
      <c r="K20" s="151"/>
      <c r="L20" s="154"/>
      <c r="M20" s="151"/>
      <c r="N20" s="138"/>
    </row>
    <row r="21" spans="1:14" ht="16.5" x14ac:dyDescent="0.25">
      <c r="A21" s="158"/>
      <c r="B21" s="7" t="s">
        <v>37</v>
      </c>
      <c r="C21" s="13">
        <f>VLOOKUP("Wibaux",'[1]Caseload Counts'!$A$1:$D$57,4,FALSE)</f>
        <v>0</v>
      </c>
      <c r="D21" s="20">
        <f>VLOOKUP("Wibaux",referral,2,FALSE)</f>
        <v>0</v>
      </c>
      <c r="E21" s="26"/>
      <c r="F21" s="31"/>
      <c r="G21" s="31"/>
      <c r="H21" s="35"/>
      <c r="I21" s="145"/>
      <c r="J21" s="148"/>
      <c r="K21" s="151" t="e">
        <f>C22/I21</f>
        <v>#DIV/0!</v>
      </c>
      <c r="L21" s="154"/>
      <c r="M21" s="151"/>
      <c r="N21" s="138"/>
    </row>
    <row r="22" spans="1:14" ht="17.25" thickBot="1" x14ac:dyDescent="0.3">
      <c r="A22" s="140" t="s">
        <v>24</v>
      </c>
      <c r="B22" s="141"/>
      <c r="C22" s="12">
        <f>SUM(C15:C21)</f>
        <v>50</v>
      </c>
      <c r="D22" s="19">
        <f>SUM(D15:D21)</f>
        <v>22</v>
      </c>
      <c r="E22" s="25"/>
      <c r="F22" s="30"/>
      <c r="G22" s="30"/>
      <c r="H22" s="34"/>
      <c r="I22" s="146"/>
      <c r="J22" s="149"/>
      <c r="K22" s="152"/>
      <c r="L22" s="155"/>
      <c r="M22" s="152"/>
      <c r="N22" s="139"/>
    </row>
    <row r="23" spans="1:14" ht="17.25" thickTop="1" x14ac:dyDescent="0.25">
      <c r="A23" s="142" t="s">
        <v>38</v>
      </c>
      <c r="B23" s="7" t="s">
        <v>39</v>
      </c>
      <c r="C23" s="13">
        <f>VLOOKUP("Custer",'[1]Caseload Counts'!$A$1:$D$57,4,FALSE)</f>
        <v>41</v>
      </c>
      <c r="D23" s="20">
        <f>VLOOKUP("Custer",referral,2,FALSE)</f>
        <v>10</v>
      </c>
      <c r="E23" s="26"/>
      <c r="F23" s="31"/>
      <c r="G23" s="31"/>
      <c r="H23" s="35"/>
      <c r="I23" s="144">
        <v>5</v>
      </c>
      <c r="J23" s="147">
        <v>6</v>
      </c>
      <c r="K23" s="150">
        <f>C30/I23</f>
        <v>16.2</v>
      </c>
      <c r="L23" s="153">
        <f>C30/J23</f>
        <v>13.5</v>
      </c>
      <c r="M23" s="150">
        <f>D30/I23</f>
        <v>3</v>
      </c>
      <c r="N23" s="137">
        <f>D30/J23</f>
        <v>2.5</v>
      </c>
    </row>
    <row r="24" spans="1:14" ht="16.5" x14ac:dyDescent="0.25">
      <c r="A24" s="143"/>
      <c r="B24" s="7" t="s">
        <v>40</v>
      </c>
      <c r="C24" s="13">
        <f>VLOOKUP("Garfield",'[1]Caseload Counts'!$A$1:$D$57,4,FALSE)</f>
        <v>0</v>
      </c>
      <c r="D24" s="20">
        <f>VLOOKUP("Garfield",referral,2,FALSE)</f>
        <v>0</v>
      </c>
      <c r="E24" s="26"/>
      <c r="F24" s="31"/>
      <c r="G24" s="31"/>
      <c r="H24" s="35"/>
      <c r="I24" s="145"/>
      <c r="J24" s="148"/>
      <c r="K24" s="151"/>
      <c r="L24" s="154"/>
      <c r="M24" s="151"/>
      <c r="N24" s="138"/>
    </row>
    <row r="25" spans="1:14" ht="16.5" x14ac:dyDescent="0.25">
      <c r="A25" s="143"/>
      <c r="B25" s="7" t="s">
        <v>41</v>
      </c>
      <c r="C25" s="13">
        <f>VLOOKUP("Powder River",'[1]Caseload Counts'!$A$1:$D$57,4,FALSE)</f>
        <v>0</v>
      </c>
      <c r="D25" s="20">
        <f>VLOOKUP("Powder River",referral,2,FALSE)</f>
        <v>0</v>
      </c>
      <c r="E25" s="26"/>
      <c r="F25" s="31"/>
      <c r="G25" s="31"/>
      <c r="H25" s="35"/>
      <c r="I25" s="145"/>
      <c r="J25" s="148"/>
      <c r="K25" s="151"/>
      <c r="L25" s="154"/>
      <c r="M25" s="151"/>
      <c r="N25" s="138"/>
    </row>
    <row r="26" spans="1:14" ht="16.5" x14ac:dyDescent="0.25">
      <c r="A26" s="143"/>
      <c r="B26" s="7" t="s">
        <v>42</v>
      </c>
      <c r="C26" s="13">
        <f>VLOOKUP("Fallon",'[1]Caseload Counts'!$A$1:$D$57,4,FALSE)</f>
        <v>9</v>
      </c>
      <c r="D26" s="20">
        <f>VLOOKUP("Fallon",referral,2,FALSE)</f>
        <v>0</v>
      </c>
      <c r="E26" s="26"/>
      <c r="F26" s="31"/>
      <c r="G26" s="31"/>
      <c r="H26" s="35"/>
      <c r="I26" s="145"/>
      <c r="J26" s="148"/>
      <c r="K26" s="151"/>
      <c r="L26" s="154"/>
      <c r="M26" s="151"/>
      <c r="N26" s="138"/>
    </row>
    <row r="27" spans="1:14" ht="16.5" x14ac:dyDescent="0.25">
      <c r="A27" s="143"/>
      <c r="B27" s="7" t="s">
        <v>43</v>
      </c>
      <c r="C27" s="13">
        <f>VLOOKUP("Carter",'[1]Caseload Counts'!$A$1:$D$57,4,FALSE)</f>
        <v>0</v>
      </c>
      <c r="D27" s="20">
        <f>VLOOKUP("Carter",referral,2,FALSE)</f>
        <v>0</v>
      </c>
      <c r="E27" s="26"/>
      <c r="F27" s="31"/>
      <c r="G27" s="31"/>
      <c r="H27" s="35"/>
      <c r="I27" s="145"/>
      <c r="J27" s="148"/>
      <c r="K27" s="151"/>
      <c r="L27" s="154"/>
      <c r="M27" s="151"/>
      <c r="N27" s="138"/>
    </row>
    <row r="28" spans="1:14" ht="16.5" x14ac:dyDescent="0.25">
      <c r="A28" s="143"/>
      <c r="B28" s="7" t="s">
        <v>44</v>
      </c>
      <c r="C28" s="13">
        <f>VLOOKUP("Rosebud",'[1]Caseload Counts'!$A$1:$D$57,4,FALSE)</f>
        <v>28</v>
      </c>
      <c r="D28" s="20">
        <f>VLOOKUP("Rosebud",referral,2,FALSE)</f>
        <v>4</v>
      </c>
      <c r="E28" s="26"/>
      <c r="F28" s="31"/>
      <c r="G28" s="31"/>
      <c r="H28" s="35"/>
      <c r="I28" s="145"/>
      <c r="J28" s="148"/>
      <c r="K28" s="151"/>
      <c r="L28" s="154"/>
      <c r="M28" s="151"/>
      <c r="N28" s="138"/>
    </row>
    <row r="29" spans="1:14" ht="16.5" x14ac:dyDescent="0.25">
      <c r="A29" s="143"/>
      <c r="B29" s="7" t="s">
        <v>45</v>
      </c>
      <c r="C29" s="13">
        <f>VLOOKUP("Treasure",'[1]Caseload Counts'!$A$1:$D$57,4,FALSE)</f>
        <v>3</v>
      </c>
      <c r="D29" s="20">
        <f>VLOOKUP("Treasure",referral,2,FALSE)</f>
        <v>1</v>
      </c>
      <c r="E29" s="26"/>
      <c r="F29" s="31"/>
      <c r="G29" s="31"/>
      <c r="H29" s="35"/>
      <c r="I29" s="145"/>
      <c r="J29" s="148"/>
      <c r="K29" s="151"/>
      <c r="L29" s="154"/>
      <c r="M29" s="151"/>
      <c r="N29" s="138"/>
    </row>
    <row r="30" spans="1:14" ht="17.25" thickBot="1" x14ac:dyDescent="0.3">
      <c r="A30" s="140" t="s">
        <v>24</v>
      </c>
      <c r="B30" s="141"/>
      <c r="C30" s="12">
        <f>SUM(C23:C29)</f>
        <v>81</v>
      </c>
      <c r="D30" s="19">
        <f>SUM(D23:D29)</f>
        <v>15</v>
      </c>
      <c r="E30" s="25"/>
      <c r="F30" s="30"/>
      <c r="G30" s="30"/>
      <c r="H30" s="34"/>
      <c r="I30" s="146"/>
      <c r="J30" s="149"/>
      <c r="K30" s="152"/>
      <c r="L30" s="155"/>
      <c r="M30" s="152"/>
      <c r="N30" s="139"/>
    </row>
    <row r="31" spans="1:14" ht="20.25" thickTop="1" thickBot="1" x14ac:dyDescent="0.35">
      <c r="A31" s="5" t="s">
        <v>46</v>
      </c>
      <c r="B31" s="8"/>
      <c r="C31" s="15">
        <f>+C30+C9+C22+C14+C11</f>
        <v>427</v>
      </c>
      <c r="D31" s="22">
        <f>+D30+D9+D22+D14+D11</f>
        <v>55</v>
      </c>
      <c r="E31" s="27"/>
      <c r="F31" s="27"/>
      <c r="G31" s="27"/>
      <c r="H31" s="27"/>
      <c r="I31" s="37">
        <f>SUM(I8:I30)</f>
        <v>18</v>
      </c>
      <c r="J31" s="37">
        <f>SUM(J8:J30)</f>
        <v>23</v>
      </c>
      <c r="K31" s="39">
        <f>C31/I31</f>
        <v>23.722222222222221</v>
      </c>
      <c r="L31" s="41">
        <f>C31/J31</f>
        <v>18.565217391304348</v>
      </c>
      <c r="M31" s="42">
        <f>D31/I31</f>
        <v>3.0555555555555554</v>
      </c>
      <c r="N31" s="43">
        <f>D31/J31</f>
        <v>2.3913043478260869</v>
      </c>
    </row>
    <row r="32" spans="1:14" ht="15.75" thickTop="1" x14ac:dyDescent="0.25"/>
  </sheetData>
  <mergeCells count="43">
    <mergeCell ref="N15:N22"/>
    <mergeCell ref="A12:A13"/>
    <mergeCell ref="A6:B7"/>
    <mergeCell ref="G6:H6"/>
    <mergeCell ref="E6:F6"/>
    <mergeCell ref="I6:J6"/>
    <mergeCell ref="K6:N6"/>
    <mergeCell ref="I8:I9"/>
    <mergeCell ref="J8:J9"/>
    <mergeCell ref="K8:K9"/>
    <mergeCell ref="L8:L9"/>
    <mergeCell ref="M8:M9"/>
    <mergeCell ref="N8:N9"/>
    <mergeCell ref="A9:B9"/>
    <mergeCell ref="M15:M22"/>
    <mergeCell ref="A22:B22"/>
    <mergeCell ref="N10:N11"/>
    <mergeCell ref="A11:B11"/>
    <mergeCell ref="I12:I14"/>
    <mergeCell ref="J12:J14"/>
    <mergeCell ref="K12:K14"/>
    <mergeCell ref="L12:L14"/>
    <mergeCell ref="M12:M14"/>
    <mergeCell ref="N12:N14"/>
    <mergeCell ref="A14:B14"/>
    <mergeCell ref="I10:I11"/>
    <mergeCell ref="J10:J11"/>
    <mergeCell ref="K10:K11"/>
    <mergeCell ref="L10:L11"/>
    <mergeCell ref="M10:M11"/>
    <mergeCell ref="A15:A21"/>
    <mergeCell ref="I15:I22"/>
    <mergeCell ref="J15:J22"/>
    <mergeCell ref="K15:K22"/>
    <mergeCell ref="L15:L22"/>
    <mergeCell ref="N23:N30"/>
    <mergeCell ref="A30:B30"/>
    <mergeCell ref="A23:A29"/>
    <mergeCell ref="I23:I30"/>
    <mergeCell ref="J23:J30"/>
    <mergeCell ref="K23:K30"/>
    <mergeCell ref="L23:L30"/>
    <mergeCell ref="M23:M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88D-6EE9-4ECB-A2A5-44F73D3D4086}">
  <dimension ref="A1:N23"/>
  <sheetViews>
    <sheetView workbookViewId="0">
      <selection sqref="A1:B3"/>
    </sheetView>
  </sheetViews>
  <sheetFormatPr defaultRowHeight="15" x14ac:dyDescent="0.25"/>
  <cols>
    <col min="1" max="1" width="29.85546875" bestFit="1" customWidth="1"/>
    <col min="2" max="2" width="18.42578125" customWidth="1"/>
  </cols>
  <sheetData>
    <row r="1" spans="1:14" x14ac:dyDescent="0.25">
      <c r="A1" s="1" t="s">
        <v>0</v>
      </c>
    </row>
    <row r="2" spans="1:14" x14ac:dyDescent="0.25">
      <c r="A2" t="s">
        <v>1</v>
      </c>
    </row>
    <row r="3" spans="1:14" x14ac:dyDescent="0.25">
      <c r="A3" t="s">
        <v>2</v>
      </c>
      <c r="B3" s="2">
        <v>43951</v>
      </c>
    </row>
    <row r="5" spans="1:14" ht="15.75" thickBot="1" x14ac:dyDescent="0.3"/>
    <row r="6" spans="1:14" ht="15.75" thickTop="1" x14ac:dyDescent="0.25">
      <c r="A6" s="178" t="s">
        <v>47</v>
      </c>
      <c r="B6" s="179"/>
      <c r="C6" s="9" t="s">
        <v>4</v>
      </c>
      <c r="D6" s="16" t="s">
        <v>5</v>
      </c>
      <c r="E6" s="171" t="s">
        <v>6</v>
      </c>
      <c r="F6" s="172"/>
      <c r="G6" s="172" t="s">
        <v>7</v>
      </c>
      <c r="H6" s="172"/>
      <c r="I6" s="172" t="s">
        <v>8</v>
      </c>
      <c r="J6" s="173"/>
      <c r="K6" s="174" t="s">
        <v>9</v>
      </c>
      <c r="L6" s="175"/>
      <c r="M6" s="175"/>
      <c r="N6" s="176"/>
    </row>
    <row r="7" spans="1:14" ht="72.75" thickBot="1" x14ac:dyDescent="0.3">
      <c r="A7" s="180"/>
      <c r="B7" s="181"/>
      <c r="C7" s="10" t="s">
        <v>10</v>
      </c>
      <c r="D7" s="17" t="s">
        <v>11</v>
      </c>
      <c r="E7" s="48" t="s">
        <v>12</v>
      </c>
      <c r="F7" s="48" t="s">
        <v>13</v>
      </c>
      <c r="G7" s="48" t="s">
        <v>14</v>
      </c>
      <c r="H7" s="36" t="s">
        <v>15</v>
      </c>
      <c r="I7" s="36" t="s">
        <v>16</v>
      </c>
      <c r="J7" s="38" t="s">
        <v>48</v>
      </c>
      <c r="K7" s="36" t="s">
        <v>18</v>
      </c>
      <c r="L7" s="40" t="s">
        <v>19</v>
      </c>
      <c r="M7" s="36" t="s">
        <v>20</v>
      </c>
      <c r="N7" s="17" t="s">
        <v>21</v>
      </c>
    </row>
    <row r="8" spans="1:14" ht="20.25" thickTop="1" x14ac:dyDescent="0.3">
      <c r="A8" s="49" t="s">
        <v>49</v>
      </c>
      <c r="B8" s="6" t="s">
        <v>50</v>
      </c>
      <c r="C8" s="11">
        <f>VLOOKUP("Cascade",'[1]Caseload Counts'!$A$1:$D$57,4,FALSE)</f>
        <v>613</v>
      </c>
      <c r="D8" s="18">
        <f>VLOOKUP("Cascade",referral,2,FALSE)</f>
        <v>82</v>
      </c>
      <c r="E8" s="50">
        <v>12</v>
      </c>
      <c r="F8" s="51">
        <v>13</v>
      </c>
      <c r="G8" s="51">
        <v>15</v>
      </c>
      <c r="H8" s="51">
        <v>17</v>
      </c>
      <c r="I8" s="192">
        <f>SUM(E9,G9)</f>
        <v>27</v>
      </c>
      <c r="J8" s="194">
        <f>SUM(H9,F9)</f>
        <v>30</v>
      </c>
      <c r="K8" s="196">
        <f>C9/G8</f>
        <v>40.866666666666667</v>
      </c>
      <c r="L8" s="198">
        <f>C9/H8</f>
        <v>36.058823529411768</v>
      </c>
      <c r="M8" s="196">
        <f>D9/E8</f>
        <v>6.833333333333333</v>
      </c>
      <c r="N8" s="184">
        <f>D9/F8</f>
        <v>6.3076923076923075</v>
      </c>
    </row>
    <row r="9" spans="1:14" ht="17.25" thickBot="1" x14ac:dyDescent="0.3">
      <c r="A9" s="140" t="s">
        <v>24</v>
      </c>
      <c r="B9" s="141"/>
      <c r="C9" s="12">
        <f>SUM(C8:C8)</f>
        <v>613</v>
      </c>
      <c r="D9" s="12">
        <f>SUM(D8:D8)</f>
        <v>82</v>
      </c>
      <c r="E9" s="52">
        <f>E8</f>
        <v>12</v>
      </c>
      <c r="F9" s="52">
        <f t="shared" ref="F9:H9" si="0">F8</f>
        <v>13</v>
      </c>
      <c r="G9" s="52">
        <f t="shared" si="0"/>
        <v>15</v>
      </c>
      <c r="H9" s="52">
        <f t="shared" si="0"/>
        <v>17</v>
      </c>
      <c r="I9" s="193"/>
      <c r="J9" s="195"/>
      <c r="K9" s="197"/>
      <c r="L9" s="199"/>
      <c r="M9" s="197"/>
      <c r="N9" s="185"/>
    </row>
    <row r="10" spans="1:14" ht="17.25" thickTop="1" x14ac:dyDescent="0.25">
      <c r="A10" s="186" t="s">
        <v>51</v>
      </c>
      <c r="B10" s="7" t="s">
        <v>52</v>
      </c>
      <c r="C10" s="13">
        <f>VLOOKUP("Judith Basin",'[1]Caseload Counts'!$A$1:$D$57,4,FALSE)</f>
        <v>1</v>
      </c>
      <c r="D10" s="20">
        <f>VLOOKUP("Judith Basin",referral,2,FALSE)</f>
        <v>1</v>
      </c>
      <c r="E10" s="53"/>
      <c r="F10" s="53"/>
      <c r="G10" s="53"/>
      <c r="H10" s="53"/>
      <c r="I10" s="144">
        <v>3</v>
      </c>
      <c r="J10" s="147">
        <v>4</v>
      </c>
      <c r="K10" s="163">
        <f>C16/I10</f>
        <v>13.333333333333334</v>
      </c>
      <c r="L10" s="153">
        <f>C16/J10</f>
        <v>10</v>
      </c>
      <c r="M10" s="168">
        <f>D16/I10</f>
        <v>3</v>
      </c>
      <c r="N10" s="137">
        <f>D16/J10</f>
        <v>2.25</v>
      </c>
    </row>
    <row r="11" spans="1:14" ht="16.5" x14ac:dyDescent="0.25">
      <c r="A11" s="177"/>
      <c r="B11" s="7" t="s">
        <v>53</v>
      </c>
      <c r="C11" s="13">
        <f>VLOOKUP("Fergus",'[1]Caseload Counts'!$A$1:$D$57,4,FALSE)</f>
        <v>30</v>
      </c>
      <c r="D11" s="20">
        <f>VLOOKUP("Fergus",referral,2,FALSE)</f>
        <v>7</v>
      </c>
      <c r="E11" s="53"/>
      <c r="F11" s="53"/>
      <c r="G11" s="53"/>
      <c r="H11" s="53"/>
      <c r="I11" s="145"/>
      <c r="J11" s="148"/>
      <c r="K11" s="188"/>
      <c r="L11" s="154"/>
      <c r="M11" s="190"/>
      <c r="N11" s="138"/>
    </row>
    <row r="12" spans="1:14" ht="16.5" x14ac:dyDescent="0.25">
      <c r="A12" s="177"/>
      <c r="B12" s="7" t="s">
        <v>54</v>
      </c>
      <c r="C12" s="13">
        <f>VLOOKUP("Petroleum",'[1]Caseload Counts'!$A$1:$D$57,4,FALSE)</f>
        <v>0</v>
      </c>
      <c r="D12" s="20">
        <f>VLOOKUP("Petroleum",referral,2,FALSE)</f>
        <v>0</v>
      </c>
      <c r="E12" s="53"/>
      <c r="F12" s="53"/>
      <c r="G12" s="53"/>
      <c r="H12" s="53"/>
      <c r="I12" s="145"/>
      <c r="J12" s="148"/>
      <c r="K12" s="188"/>
      <c r="L12" s="154"/>
      <c r="M12" s="190"/>
      <c r="N12" s="138"/>
    </row>
    <row r="13" spans="1:14" ht="16.5" x14ac:dyDescent="0.25">
      <c r="A13" s="177"/>
      <c r="B13" s="7" t="s">
        <v>55</v>
      </c>
      <c r="C13" s="13">
        <f>VLOOKUP(B13,'[1]Caseload Counts'!$A$1:$D$57,4,FALSE)</f>
        <v>4</v>
      </c>
      <c r="D13" s="20">
        <f>VLOOKUP(B13,referral,2,FALSE)</f>
        <v>0</v>
      </c>
      <c r="E13" s="53"/>
      <c r="F13" s="53"/>
      <c r="G13" s="53"/>
      <c r="H13" s="53"/>
      <c r="I13" s="145"/>
      <c r="J13" s="148"/>
      <c r="K13" s="188"/>
      <c r="L13" s="154"/>
      <c r="M13" s="190"/>
      <c r="N13" s="138"/>
    </row>
    <row r="14" spans="1:14" ht="16.5" x14ac:dyDescent="0.25">
      <c r="A14" s="187"/>
      <c r="B14" s="7" t="s">
        <v>56</v>
      </c>
      <c r="C14" s="13">
        <f>VLOOKUP(B14,'[1]Caseload Counts'!$A$1:$D$57,4,FALSE)</f>
        <v>0</v>
      </c>
      <c r="D14" s="20">
        <f>VLOOKUP(B14,referral,2,FALSE)</f>
        <v>0</v>
      </c>
      <c r="E14" s="53"/>
      <c r="F14" s="53"/>
      <c r="G14" s="53"/>
      <c r="H14" s="53"/>
      <c r="I14" s="145"/>
      <c r="J14" s="148"/>
      <c r="K14" s="188"/>
      <c r="L14" s="154"/>
      <c r="M14" s="190"/>
      <c r="N14" s="138"/>
    </row>
    <row r="15" spans="1:14" ht="16.5" x14ac:dyDescent="0.25">
      <c r="A15" s="187"/>
      <c r="B15" s="7" t="s">
        <v>57</v>
      </c>
      <c r="C15" s="13">
        <f>VLOOKUP(B15,'[1]Caseload Counts'!$A$1:$D$57,4,FALSE)</f>
        <v>5</v>
      </c>
      <c r="D15" s="20">
        <f>VLOOKUP(B15,referral,2,FALSE)</f>
        <v>1</v>
      </c>
      <c r="E15" s="53"/>
      <c r="F15" s="53"/>
      <c r="G15" s="53"/>
      <c r="H15" s="53"/>
      <c r="I15" s="145"/>
      <c r="J15" s="148"/>
      <c r="K15" s="188"/>
      <c r="L15" s="154"/>
      <c r="M15" s="190"/>
      <c r="N15" s="138"/>
    </row>
    <row r="16" spans="1:14" ht="17.25" thickBot="1" x14ac:dyDescent="0.3">
      <c r="A16" s="140" t="s">
        <v>24</v>
      </c>
      <c r="B16" s="141"/>
      <c r="C16" s="12">
        <f>SUM(C10:C15)</f>
        <v>40</v>
      </c>
      <c r="D16" s="12">
        <f>SUM(D10:D15)</f>
        <v>9</v>
      </c>
      <c r="E16" s="54"/>
      <c r="F16" s="54"/>
      <c r="G16" s="54"/>
      <c r="H16" s="54"/>
      <c r="I16" s="146"/>
      <c r="J16" s="149"/>
      <c r="K16" s="189"/>
      <c r="L16" s="155"/>
      <c r="M16" s="191"/>
      <c r="N16" s="139"/>
    </row>
    <row r="17" spans="1:14" ht="17.25" thickTop="1" x14ac:dyDescent="0.25">
      <c r="A17" s="142" t="s">
        <v>58</v>
      </c>
      <c r="B17" s="7" t="s">
        <v>59</v>
      </c>
      <c r="C17" s="13">
        <f>VLOOKUP("Hill",'[1]Caseload Counts'!$A$1:$D$57,4,FALSE)</f>
        <v>31</v>
      </c>
      <c r="D17" s="20">
        <f>VLOOKUP("Hill",referral,2,FALSE)</f>
        <v>5</v>
      </c>
      <c r="E17" s="53"/>
      <c r="F17" s="53"/>
      <c r="G17" s="53"/>
      <c r="H17" s="53"/>
      <c r="I17" s="144">
        <v>5</v>
      </c>
      <c r="J17" s="147">
        <v>5</v>
      </c>
      <c r="K17" s="150">
        <f>C21/I17</f>
        <v>7</v>
      </c>
      <c r="L17" s="153">
        <f>C21/J17</f>
        <v>7</v>
      </c>
      <c r="M17" s="150">
        <f>D21/I17</f>
        <v>2.2000000000000002</v>
      </c>
      <c r="N17" s="137">
        <f>D21/J17</f>
        <v>2.2000000000000002</v>
      </c>
    </row>
    <row r="18" spans="1:14" ht="16.5" x14ac:dyDescent="0.25">
      <c r="A18" s="143"/>
      <c r="B18" s="7" t="s">
        <v>60</v>
      </c>
      <c r="C18" s="13">
        <f>VLOOKUP("Blaine",'[1]Caseload Counts'!$A$1:$D$57,4,FALSE)</f>
        <v>3</v>
      </c>
      <c r="D18" s="20">
        <f>VLOOKUP("Blaine",referral,2,FALSE)</f>
        <v>4</v>
      </c>
      <c r="E18" s="53"/>
      <c r="F18" s="53"/>
      <c r="G18" s="53"/>
      <c r="H18" s="53"/>
      <c r="I18" s="145"/>
      <c r="J18" s="148"/>
      <c r="K18" s="151"/>
      <c r="L18" s="154"/>
      <c r="M18" s="151"/>
      <c r="N18" s="138"/>
    </row>
    <row r="19" spans="1:14" ht="16.5" x14ac:dyDescent="0.25">
      <c r="A19" s="182"/>
      <c r="B19" s="7" t="s">
        <v>61</v>
      </c>
      <c r="C19" s="13">
        <f>VLOOKUP("Liberty",'[1]Caseload Counts'!$A$1:$D$57,4,FALSE)</f>
        <v>0</v>
      </c>
      <c r="D19" s="20">
        <f>VLOOKUP("Liberty",referral,2,FALSE)</f>
        <v>0</v>
      </c>
      <c r="E19" s="53"/>
      <c r="F19" s="53"/>
      <c r="G19" s="53"/>
      <c r="H19" s="53"/>
      <c r="I19" s="145"/>
      <c r="J19" s="148"/>
      <c r="K19" s="151"/>
      <c r="L19" s="154"/>
      <c r="M19" s="151"/>
      <c r="N19" s="138"/>
    </row>
    <row r="20" spans="1:14" ht="16.5" x14ac:dyDescent="0.25">
      <c r="A20" s="183"/>
      <c r="B20" s="7" t="s">
        <v>62</v>
      </c>
      <c r="C20" s="13">
        <f>VLOOKUP("Chouteau",'[1]Caseload Counts'!$A$1:$D$57,4,FALSE)</f>
        <v>1</v>
      </c>
      <c r="D20" s="20">
        <f>VLOOKUP("Chouteau",referral,2,FALSE)</f>
        <v>2</v>
      </c>
      <c r="E20" s="53"/>
      <c r="F20" s="53"/>
      <c r="G20" s="53"/>
      <c r="H20" s="53"/>
      <c r="I20" s="145"/>
      <c r="J20" s="148"/>
      <c r="K20" s="151"/>
      <c r="L20" s="154"/>
      <c r="M20" s="151"/>
      <c r="N20" s="138"/>
    </row>
    <row r="21" spans="1:14" ht="17.25" thickBot="1" x14ac:dyDescent="0.3">
      <c r="A21" s="140" t="s">
        <v>24</v>
      </c>
      <c r="B21" s="141"/>
      <c r="C21" s="12">
        <f>SUM(C17:C20)</f>
        <v>35</v>
      </c>
      <c r="D21" s="19">
        <f>SUM(D17:D20)</f>
        <v>11</v>
      </c>
      <c r="E21" s="54"/>
      <c r="F21" s="54"/>
      <c r="G21" s="54"/>
      <c r="H21" s="54"/>
      <c r="I21" s="146"/>
      <c r="J21" s="149"/>
      <c r="K21" s="152"/>
      <c r="L21" s="155"/>
      <c r="M21" s="152"/>
      <c r="N21" s="139"/>
    </row>
    <row r="22" spans="1:14" ht="20.25" thickTop="1" thickBot="1" x14ac:dyDescent="0.35">
      <c r="A22" s="5" t="s">
        <v>46</v>
      </c>
      <c r="B22" s="8"/>
      <c r="C22" s="15">
        <f>+C21+C9+C16</f>
        <v>688</v>
      </c>
      <c r="D22" s="22">
        <f>+D21+D9+D16</f>
        <v>102</v>
      </c>
      <c r="E22" s="55"/>
      <c r="F22" s="55"/>
      <c r="G22" s="55"/>
      <c r="H22" s="55"/>
      <c r="I22" s="37">
        <f>I8+I10+I17</f>
        <v>35</v>
      </c>
      <c r="J22" s="22">
        <f>J8+J10+J17</f>
        <v>39</v>
      </c>
      <c r="K22" s="39">
        <f>C22/I22</f>
        <v>19.657142857142858</v>
      </c>
      <c r="L22" s="41">
        <f>C22/J22</f>
        <v>17.641025641025642</v>
      </c>
      <c r="M22" s="42">
        <f>D22/I22</f>
        <v>2.9142857142857141</v>
      </c>
      <c r="N22" s="43">
        <f>D22/J22</f>
        <v>2.6153846153846154</v>
      </c>
    </row>
    <row r="23" spans="1:14" ht="15.75" thickTop="1" x14ac:dyDescent="0.25"/>
  </sheetData>
  <mergeCells count="28">
    <mergeCell ref="A6:B7"/>
    <mergeCell ref="E6:F6"/>
    <mergeCell ref="G6:H6"/>
    <mergeCell ref="I6:J6"/>
    <mergeCell ref="K6:N6"/>
    <mergeCell ref="N8:N9"/>
    <mergeCell ref="A9:B9"/>
    <mergeCell ref="A10:A15"/>
    <mergeCell ref="I10:I16"/>
    <mergeCell ref="J10:J16"/>
    <mergeCell ref="K10:K16"/>
    <mergeCell ref="L10:L16"/>
    <mergeCell ref="M10:M16"/>
    <mergeCell ref="N10:N16"/>
    <mergeCell ref="A16:B16"/>
    <mergeCell ref="I8:I9"/>
    <mergeCell ref="J8:J9"/>
    <mergeCell ref="K8:K9"/>
    <mergeCell ref="L8:L9"/>
    <mergeCell ref="M8:M9"/>
    <mergeCell ref="N17:N21"/>
    <mergeCell ref="A21:B21"/>
    <mergeCell ref="A17:A20"/>
    <mergeCell ref="I17:I21"/>
    <mergeCell ref="J17:J21"/>
    <mergeCell ref="K17:K21"/>
    <mergeCell ref="L17:L21"/>
    <mergeCell ref="M17:M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EA058-866D-4A13-A091-C1D23A26FF9A}">
  <dimension ref="A1:N14"/>
  <sheetViews>
    <sheetView workbookViewId="0">
      <selection sqref="A1:B3"/>
    </sheetView>
  </sheetViews>
  <sheetFormatPr defaultRowHeight="15" x14ac:dyDescent="0.25"/>
  <cols>
    <col min="1" max="1" width="31.42578125" bestFit="1" customWidth="1"/>
    <col min="2" max="2" width="14.5703125" customWidth="1"/>
  </cols>
  <sheetData>
    <row r="1" spans="1:14" x14ac:dyDescent="0.25">
      <c r="A1" s="1" t="s">
        <v>0</v>
      </c>
    </row>
    <row r="2" spans="1:14" x14ac:dyDescent="0.25">
      <c r="A2" t="s">
        <v>1</v>
      </c>
    </row>
    <row r="3" spans="1:14" x14ac:dyDescent="0.25">
      <c r="A3" t="s">
        <v>2</v>
      </c>
      <c r="B3" s="2">
        <v>43951</v>
      </c>
    </row>
    <row r="5" spans="1:14" ht="15.75" thickBot="1" x14ac:dyDescent="0.3"/>
    <row r="6" spans="1:14" ht="15.75" thickTop="1" x14ac:dyDescent="0.25">
      <c r="A6" s="178" t="s">
        <v>63</v>
      </c>
      <c r="B6" s="179"/>
      <c r="C6" s="9" t="s">
        <v>4</v>
      </c>
      <c r="D6" s="16" t="s">
        <v>5</v>
      </c>
      <c r="E6" s="172" t="s">
        <v>6</v>
      </c>
      <c r="F6" s="203"/>
      <c r="G6" s="204" t="s">
        <v>7</v>
      </c>
      <c r="H6" s="203"/>
      <c r="I6" s="172" t="s">
        <v>8</v>
      </c>
      <c r="J6" s="173"/>
      <c r="K6" s="174" t="s">
        <v>9</v>
      </c>
      <c r="L6" s="175"/>
      <c r="M6" s="175"/>
      <c r="N6" s="176"/>
    </row>
    <row r="7" spans="1:14" ht="72.75" thickBot="1" x14ac:dyDescent="0.3">
      <c r="A7" s="180"/>
      <c r="B7" s="181"/>
      <c r="C7" s="10" t="s">
        <v>10</v>
      </c>
      <c r="D7" s="17" t="s">
        <v>11</v>
      </c>
      <c r="E7" s="36" t="s">
        <v>12</v>
      </c>
      <c r="F7" s="10" t="s">
        <v>13</v>
      </c>
      <c r="G7" s="10" t="s">
        <v>14</v>
      </c>
      <c r="H7" s="10" t="s">
        <v>15</v>
      </c>
      <c r="I7" s="36" t="s">
        <v>16</v>
      </c>
      <c r="J7" s="38" t="s">
        <v>17</v>
      </c>
      <c r="K7" s="36" t="s">
        <v>18</v>
      </c>
      <c r="L7" s="40" t="s">
        <v>19</v>
      </c>
      <c r="M7" s="36" t="s">
        <v>20</v>
      </c>
      <c r="N7" s="17" t="s">
        <v>21</v>
      </c>
    </row>
    <row r="8" spans="1:14" ht="24.75" thickTop="1" x14ac:dyDescent="0.3">
      <c r="A8" s="49" t="s">
        <v>64</v>
      </c>
      <c r="B8" s="6" t="s">
        <v>65</v>
      </c>
      <c r="C8" s="11">
        <f>VLOOKUP("Yellowstone",'[1]Caseload Counts'!$A$1:$D$57,4,FALSE)</f>
        <v>740</v>
      </c>
      <c r="D8" s="18">
        <f>VLOOKUP("Yellowstone",referral,2,FALSE)</f>
        <v>119</v>
      </c>
      <c r="E8" s="56">
        <v>15</v>
      </c>
      <c r="F8" s="11">
        <v>16</v>
      </c>
      <c r="G8" s="11">
        <v>16</v>
      </c>
      <c r="H8" s="11">
        <v>20</v>
      </c>
      <c r="I8" s="205">
        <f>SUM(E9,G9)</f>
        <v>31</v>
      </c>
      <c r="J8" s="194">
        <f>SUM(F9,H9)</f>
        <v>36</v>
      </c>
      <c r="K8" s="196">
        <f>C9/G8</f>
        <v>46.25</v>
      </c>
      <c r="L8" s="198">
        <f>C9/H8</f>
        <v>37</v>
      </c>
      <c r="M8" s="196">
        <f>D9/E8</f>
        <v>7.9333333333333336</v>
      </c>
      <c r="N8" s="184">
        <f>D9/F8</f>
        <v>7.4375</v>
      </c>
    </row>
    <row r="9" spans="1:14" ht="17.25" thickBot="1" x14ac:dyDescent="0.3">
      <c r="A9" s="140" t="s">
        <v>24</v>
      </c>
      <c r="B9" s="141"/>
      <c r="C9" s="12">
        <f>SUM(C8:C8)</f>
        <v>740</v>
      </c>
      <c r="D9" s="19">
        <f>SUM(D8:D8)</f>
        <v>119</v>
      </c>
      <c r="E9" s="57">
        <f>E8</f>
        <v>15</v>
      </c>
      <c r="F9" s="12">
        <f>F8</f>
        <v>16</v>
      </c>
      <c r="G9" s="12">
        <f t="shared" ref="G9:H9" si="0">G8</f>
        <v>16</v>
      </c>
      <c r="H9" s="12">
        <f t="shared" si="0"/>
        <v>20</v>
      </c>
      <c r="I9" s="206"/>
      <c r="J9" s="195"/>
      <c r="K9" s="197"/>
      <c r="L9" s="199"/>
      <c r="M9" s="197"/>
      <c r="N9" s="185"/>
    </row>
    <row r="10" spans="1:14" ht="17.25" thickTop="1" x14ac:dyDescent="0.25">
      <c r="A10" s="186" t="s">
        <v>66</v>
      </c>
      <c r="B10" s="7" t="s">
        <v>67</v>
      </c>
      <c r="C10" s="13">
        <f>VLOOKUP("Stillwater",'[1]Caseload Counts'!$A$1:$D$57,4,FALSE)</f>
        <v>2</v>
      </c>
      <c r="D10" s="20">
        <f>VLOOKUP("Stillwater",referral,2,FALSE)</f>
        <v>5</v>
      </c>
      <c r="E10" s="58"/>
      <c r="F10" s="59"/>
      <c r="G10" s="59"/>
      <c r="H10" s="60"/>
      <c r="I10" s="200">
        <v>3</v>
      </c>
      <c r="J10" s="147">
        <v>4</v>
      </c>
      <c r="K10" s="150">
        <f>C12/I10</f>
        <v>5.666666666666667</v>
      </c>
      <c r="L10" s="153">
        <f>C12/J10</f>
        <v>4.25</v>
      </c>
      <c r="M10" s="150">
        <f>D12/I10</f>
        <v>2.3333333333333335</v>
      </c>
      <c r="N10" s="137">
        <f>D12/J10</f>
        <v>1.75</v>
      </c>
    </row>
    <row r="11" spans="1:14" ht="16.5" x14ac:dyDescent="0.25">
      <c r="A11" s="187"/>
      <c r="B11" s="7" t="s">
        <v>68</v>
      </c>
      <c r="C11" s="13">
        <f>VLOOKUP("Carbon",'[1]Caseload Counts'!$A$1:$D$57,4,FALSE)</f>
        <v>15</v>
      </c>
      <c r="D11" s="20">
        <f>VLOOKUP("Carbon",referral,2,FALSE)</f>
        <v>2</v>
      </c>
      <c r="E11" s="61"/>
      <c r="F11" s="62"/>
      <c r="G11" s="62"/>
      <c r="H11" s="63"/>
      <c r="I11" s="201"/>
      <c r="J11" s="148"/>
      <c r="K11" s="151"/>
      <c r="L11" s="154"/>
      <c r="M11" s="151"/>
      <c r="N11" s="138"/>
    </row>
    <row r="12" spans="1:14" ht="17.25" thickBot="1" x14ac:dyDescent="0.3">
      <c r="A12" s="140" t="s">
        <v>24</v>
      </c>
      <c r="B12" s="141"/>
      <c r="C12" s="12">
        <f>SUM(C10:C11)</f>
        <v>17</v>
      </c>
      <c r="D12" s="19">
        <f>SUM(D10:D11)</f>
        <v>7</v>
      </c>
      <c r="E12" s="64"/>
      <c r="F12" s="65"/>
      <c r="G12" s="65"/>
      <c r="H12" s="66"/>
      <c r="I12" s="202"/>
      <c r="J12" s="149"/>
      <c r="K12" s="152"/>
      <c r="L12" s="155"/>
      <c r="M12" s="152"/>
      <c r="N12" s="139"/>
    </row>
    <row r="13" spans="1:14" ht="19.5" thickTop="1" thickBot="1" x14ac:dyDescent="0.3">
      <c r="A13" s="5" t="s">
        <v>46</v>
      </c>
      <c r="B13" s="8"/>
      <c r="C13" s="15">
        <f>+C9+C12</f>
        <v>757</v>
      </c>
      <c r="D13" s="22">
        <f>+D9+D12</f>
        <v>126</v>
      </c>
      <c r="E13" s="67"/>
      <c r="F13" s="68"/>
      <c r="G13" s="68"/>
      <c r="H13" s="69"/>
      <c r="I13" s="15">
        <f>I8+I10</f>
        <v>34</v>
      </c>
      <c r="J13" s="15">
        <f t="shared" ref="J13" si="1">J8+J10</f>
        <v>40</v>
      </c>
      <c r="K13" s="70">
        <f>C13/I13</f>
        <v>22.264705882352942</v>
      </c>
      <c r="L13" s="70">
        <f>C13/J13</f>
        <v>18.925000000000001</v>
      </c>
      <c r="M13" s="70">
        <f>D13/I13</f>
        <v>3.7058823529411766</v>
      </c>
      <c r="N13" s="70">
        <f>D13/J13</f>
        <v>3.15</v>
      </c>
    </row>
    <row r="14" spans="1:14" ht="15.75" thickTop="1" x14ac:dyDescent="0.25"/>
  </sheetData>
  <mergeCells count="20">
    <mergeCell ref="A6:B7"/>
    <mergeCell ref="E6:F6"/>
    <mergeCell ref="G6:H6"/>
    <mergeCell ref="I6:J6"/>
    <mergeCell ref="K6:N6"/>
    <mergeCell ref="N8:N9"/>
    <mergeCell ref="A9:B9"/>
    <mergeCell ref="A10:A11"/>
    <mergeCell ref="I10:I12"/>
    <mergeCell ref="J10:J12"/>
    <mergeCell ref="K10:K12"/>
    <mergeCell ref="L10:L12"/>
    <mergeCell ref="M10:M12"/>
    <mergeCell ref="N10:N12"/>
    <mergeCell ref="A12:B12"/>
    <mergeCell ref="I8:I9"/>
    <mergeCell ref="J8:J9"/>
    <mergeCell ref="K8:K9"/>
    <mergeCell ref="L8:L9"/>
    <mergeCell ref="M8:M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AEF5C-2A11-4D9B-B652-600264CFF188}">
  <dimension ref="A1:N25"/>
  <sheetViews>
    <sheetView workbookViewId="0">
      <selection sqref="A1:B3"/>
    </sheetView>
  </sheetViews>
  <sheetFormatPr defaultRowHeight="15" x14ac:dyDescent="0.25"/>
  <cols>
    <col min="1" max="1" width="34.5703125" bestFit="1" customWidth="1"/>
    <col min="2" max="2" width="15" customWidth="1"/>
    <col min="3" max="3" width="11.5703125" bestFit="1" customWidth="1"/>
    <col min="4" max="4" width="8.5703125" bestFit="1" customWidth="1"/>
    <col min="6" max="6" width="8.5703125" bestFit="1" customWidth="1"/>
    <col min="8" max="8" width="8.5703125" bestFit="1" customWidth="1"/>
    <col min="10" max="10" width="7.42578125" bestFit="1" customWidth="1"/>
    <col min="11" max="12" width="8.7109375" bestFit="1" customWidth="1"/>
    <col min="13" max="13" width="7.42578125" bestFit="1" customWidth="1"/>
    <col min="14" max="14" width="8" bestFit="1" customWidth="1"/>
  </cols>
  <sheetData>
    <row r="1" spans="1:14" x14ac:dyDescent="0.25">
      <c r="A1" s="1" t="s">
        <v>0</v>
      </c>
    </row>
    <row r="2" spans="1:14" x14ac:dyDescent="0.25">
      <c r="A2" t="s">
        <v>1</v>
      </c>
    </row>
    <row r="3" spans="1:14" x14ac:dyDescent="0.25">
      <c r="A3" t="s">
        <v>2</v>
      </c>
      <c r="B3" s="2">
        <v>43951</v>
      </c>
    </row>
    <row r="5" spans="1:14" ht="15.75" thickBot="1" x14ac:dyDescent="0.3"/>
    <row r="6" spans="1:14" ht="16.5" thickTop="1" x14ac:dyDescent="0.25">
      <c r="A6" s="71" t="s">
        <v>69</v>
      </c>
      <c r="B6" s="72"/>
      <c r="C6" s="9" t="s">
        <v>4</v>
      </c>
      <c r="D6" s="9" t="s">
        <v>5</v>
      </c>
      <c r="E6" s="204" t="s">
        <v>6</v>
      </c>
      <c r="F6" s="203"/>
      <c r="G6" s="204" t="s">
        <v>7</v>
      </c>
      <c r="H6" s="203"/>
      <c r="I6" s="204" t="s">
        <v>70</v>
      </c>
      <c r="J6" s="203"/>
      <c r="K6" s="174" t="s">
        <v>9</v>
      </c>
      <c r="L6" s="175"/>
      <c r="M6" s="175"/>
      <c r="N6" s="176"/>
    </row>
    <row r="7" spans="1:14" ht="72.75" thickBot="1" x14ac:dyDescent="0.3">
      <c r="A7" s="73"/>
      <c r="B7" s="74"/>
      <c r="C7" s="10" t="s">
        <v>10</v>
      </c>
      <c r="D7" s="10" t="s">
        <v>11</v>
      </c>
      <c r="E7" s="36" t="s">
        <v>12</v>
      </c>
      <c r="F7" s="36" t="s">
        <v>13</v>
      </c>
      <c r="G7" s="36" t="s">
        <v>14</v>
      </c>
      <c r="H7" s="36" t="s">
        <v>15</v>
      </c>
      <c r="I7" s="36" t="s">
        <v>16</v>
      </c>
      <c r="J7" s="75" t="s">
        <v>17</v>
      </c>
      <c r="K7" s="36" t="s">
        <v>18</v>
      </c>
      <c r="L7" s="40" t="s">
        <v>19</v>
      </c>
      <c r="M7" s="36" t="s">
        <v>20</v>
      </c>
      <c r="N7" s="17" t="s">
        <v>21</v>
      </c>
    </row>
    <row r="8" spans="1:14" ht="20.25" thickTop="1" x14ac:dyDescent="0.3">
      <c r="A8" s="76" t="s">
        <v>71</v>
      </c>
      <c r="B8" s="77" t="s">
        <v>72</v>
      </c>
      <c r="C8" s="11">
        <f>VLOOKUP("Silver Bow",'[1]Caseload Counts'!$A$1:$D$57,4,FALSE)</f>
        <v>255</v>
      </c>
      <c r="D8" s="11">
        <f>VLOOKUP("Silver bow",referral,2,FALSE)</f>
        <v>49</v>
      </c>
      <c r="E8" s="78">
        <v>4</v>
      </c>
      <c r="F8" s="78">
        <v>5</v>
      </c>
      <c r="G8" s="78">
        <v>7</v>
      </c>
      <c r="H8" s="78">
        <v>9</v>
      </c>
      <c r="I8" s="223">
        <f>E8+G8</f>
        <v>11</v>
      </c>
      <c r="J8" s="207">
        <f>F8+H8</f>
        <v>14</v>
      </c>
      <c r="K8" s="208">
        <f>C9/G8</f>
        <v>36.428571428571431</v>
      </c>
      <c r="L8" s="211">
        <f>C9/H8</f>
        <v>28.333333333333332</v>
      </c>
      <c r="M8" s="208">
        <f>D9/E9</f>
        <v>12.25</v>
      </c>
      <c r="N8" s="214">
        <f>D9/F9</f>
        <v>9.8000000000000007</v>
      </c>
    </row>
    <row r="9" spans="1:14" ht="17.25" thickBot="1" x14ac:dyDescent="0.3">
      <c r="A9" s="140" t="s">
        <v>24</v>
      </c>
      <c r="B9" s="141"/>
      <c r="C9" s="12">
        <f>SUM(C8:C8)</f>
        <v>255</v>
      </c>
      <c r="D9" s="12">
        <f>SUM(D8:D8)</f>
        <v>49</v>
      </c>
      <c r="E9" s="12">
        <f>E8</f>
        <v>4</v>
      </c>
      <c r="F9" s="12">
        <f t="shared" ref="F9:H9" si="0">F8</f>
        <v>5</v>
      </c>
      <c r="G9" s="12">
        <f>G8</f>
        <v>7</v>
      </c>
      <c r="H9" s="12">
        <f t="shared" si="0"/>
        <v>9</v>
      </c>
      <c r="I9" s="202"/>
      <c r="J9" s="149"/>
      <c r="K9" s="225"/>
      <c r="L9" s="224"/>
      <c r="M9" s="225"/>
      <c r="N9" s="226"/>
    </row>
    <row r="10" spans="1:14" ht="36" thickTop="1" x14ac:dyDescent="0.3">
      <c r="A10" s="79" t="s">
        <v>73</v>
      </c>
      <c r="B10" s="80" t="s">
        <v>74</v>
      </c>
      <c r="C10" s="13">
        <f>VLOOKUP("Deer Lodge",'[1]Caseload Counts'!$A$1:$D$57,4,FALSE)</f>
        <v>17</v>
      </c>
      <c r="D10" s="13">
        <f>VLOOKUP("Deer Lodge",referral,2,FALSE)</f>
        <v>7</v>
      </c>
      <c r="E10" s="81">
        <v>1</v>
      </c>
      <c r="F10" s="81">
        <v>1</v>
      </c>
      <c r="G10" s="81">
        <v>1</v>
      </c>
      <c r="H10" s="81">
        <v>1</v>
      </c>
      <c r="I10" s="81">
        <f>E11+G11</f>
        <v>2</v>
      </c>
      <c r="J10" s="45">
        <f>F11+H11</f>
        <v>2</v>
      </c>
      <c r="K10" s="82">
        <f>C11/G11</f>
        <v>17</v>
      </c>
      <c r="L10" s="83">
        <f>C11/H11</f>
        <v>17</v>
      </c>
      <c r="M10" s="82">
        <f>D11/E11</f>
        <v>7</v>
      </c>
      <c r="N10" s="84">
        <f>D11/F11</f>
        <v>7</v>
      </c>
    </row>
    <row r="11" spans="1:14" ht="17.25" thickBot="1" x14ac:dyDescent="0.3">
      <c r="A11" s="140" t="s">
        <v>24</v>
      </c>
      <c r="B11" s="141"/>
      <c r="C11" s="12">
        <f t="shared" ref="C11:H11" si="1">SUM(C10:C10)</f>
        <v>17</v>
      </c>
      <c r="D11" s="12">
        <f t="shared" si="1"/>
        <v>7</v>
      </c>
      <c r="E11" s="12">
        <f t="shared" si="1"/>
        <v>1</v>
      </c>
      <c r="F11" s="12">
        <f t="shared" si="1"/>
        <v>1</v>
      </c>
      <c r="G11" s="12">
        <f t="shared" si="1"/>
        <v>1</v>
      </c>
      <c r="H11" s="12">
        <f t="shared" si="1"/>
        <v>1</v>
      </c>
      <c r="I11" s="85"/>
      <c r="J11" s="46"/>
      <c r="K11" s="86"/>
      <c r="L11" s="87"/>
      <c r="M11" s="86"/>
      <c r="N11" s="88"/>
    </row>
    <row r="12" spans="1:14" ht="17.25" thickTop="1" x14ac:dyDescent="0.25">
      <c r="A12" s="239" t="s">
        <v>75</v>
      </c>
      <c r="B12" s="7" t="s">
        <v>76</v>
      </c>
      <c r="C12" s="13">
        <f>VLOOKUP("Madison",'[1]Caseload Counts'!$A$1:$D$57,4,FALSE)</f>
        <v>7</v>
      </c>
      <c r="D12" s="13">
        <f>VLOOKUP("Madison",referral,2,FALSE)</f>
        <v>3</v>
      </c>
      <c r="E12" s="89"/>
      <c r="F12" s="89"/>
      <c r="G12" s="89"/>
      <c r="H12" s="89"/>
      <c r="I12" s="200">
        <v>2</v>
      </c>
      <c r="J12" s="147">
        <v>2</v>
      </c>
      <c r="K12" s="208">
        <f>C14/I12</f>
        <v>15</v>
      </c>
      <c r="L12" s="211">
        <f>C14/J12</f>
        <v>15</v>
      </c>
      <c r="M12" s="208">
        <f>D14/I12</f>
        <v>3</v>
      </c>
      <c r="N12" s="214">
        <f>D14/J12</f>
        <v>3</v>
      </c>
    </row>
    <row r="13" spans="1:14" ht="16.5" x14ac:dyDescent="0.25">
      <c r="A13" s="240"/>
      <c r="B13" s="7" t="s">
        <v>77</v>
      </c>
      <c r="C13" s="13">
        <f>VLOOKUP("Beaverhead",'[1]Caseload Counts'!$A$1:$D$57,4,FALSE)</f>
        <v>23</v>
      </c>
      <c r="D13" s="13">
        <f>VLOOKUP("Beaverhead",referral,2,FALSE)</f>
        <v>3</v>
      </c>
      <c r="E13" s="89"/>
      <c r="F13" s="89"/>
      <c r="G13" s="89"/>
      <c r="H13" s="89"/>
      <c r="I13" s="201"/>
      <c r="J13" s="148"/>
      <c r="K13" s="209"/>
      <c r="L13" s="212"/>
      <c r="M13" s="209"/>
      <c r="N13" s="215"/>
    </row>
    <row r="14" spans="1:14" ht="17.25" thickBot="1" x14ac:dyDescent="0.3">
      <c r="A14" s="140" t="s">
        <v>24</v>
      </c>
      <c r="B14" s="141"/>
      <c r="C14" s="12">
        <f>SUM(C12:C13)</f>
        <v>30</v>
      </c>
      <c r="D14" s="12">
        <f>SUM(D12:D13)</f>
        <v>6</v>
      </c>
      <c r="E14" s="89"/>
      <c r="F14" s="89"/>
      <c r="G14" s="89"/>
      <c r="H14" s="89"/>
      <c r="I14" s="241"/>
      <c r="J14" s="242"/>
      <c r="K14" s="225"/>
      <c r="L14" s="224"/>
      <c r="M14" s="225"/>
      <c r="N14" s="226"/>
    </row>
    <row r="15" spans="1:14" ht="17.25" thickTop="1" x14ac:dyDescent="0.25">
      <c r="A15" s="227" t="s">
        <v>78</v>
      </c>
      <c r="B15" s="7" t="s">
        <v>79</v>
      </c>
      <c r="C15" s="13">
        <f>VLOOKUP("Gallatin",'[1]Caseload Counts'!$A$1:$D$57,4,FALSE)</f>
        <v>104</v>
      </c>
      <c r="D15" s="20">
        <f>VLOOKUP("Gallatin",referral,2,FALSE)</f>
        <v>43</v>
      </c>
      <c r="E15" s="230">
        <v>5</v>
      </c>
      <c r="F15" s="233">
        <v>6</v>
      </c>
      <c r="G15" s="233">
        <v>4</v>
      </c>
      <c r="H15" s="236">
        <v>5</v>
      </c>
      <c r="I15" s="200">
        <f>E18+G18</f>
        <v>9</v>
      </c>
      <c r="J15" s="147">
        <f>F18+H18</f>
        <v>11</v>
      </c>
      <c r="K15" s="208">
        <f>C18/G18</f>
        <v>36.5</v>
      </c>
      <c r="L15" s="211">
        <f>C18/H18</f>
        <v>29.2</v>
      </c>
      <c r="M15" s="168">
        <f>D18/E18</f>
        <v>11.2</v>
      </c>
      <c r="N15" s="137">
        <f>D18/F18</f>
        <v>9.3333333333333339</v>
      </c>
    </row>
    <row r="16" spans="1:14" ht="16.5" x14ac:dyDescent="0.25">
      <c r="A16" s="228"/>
      <c r="B16" s="7" t="s">
        <v>80</v>
      </c>
      <c r="C16" s="13">
        <f>VLOOKUP("Park",'[1]Caseload Counts'!$A$1:$D$57,4,FALSE)</f>
        <v>37</v>
      </c>
      <c r="D16" s="20">
        <f>VLOOKUP("Park",referral,2,FALSE)</f>
        <v>10</v>
      </c>
      <c r="E16" s="231"/>
      <c r="F16" s="234"/>
      <c r="G16" s="234"/>
      <c r="H16" s="237"/>
      <c r="I16" s="201"/>
      <c r="J16" s="148"/>
      <c r="K16" s="209"/>
      <c r="L16" s="212"/>
      <c r="M16" s="190"/>
      <c r="N16" s="138"/>
    </row>
    <row r="17" spans="1:14" ht="23.25" x14ac:dyDescent="0.25">
      <c r="A17" s="229"/>
      <c r="B17" s="7" t="s">
        <v>81</v>
      </c>
      <c r="C17" s="13">
        <f>VLOOKUP("Sweet Grass",'[1]Caseload Counts'!$A$1:$D$57,4,FALSE)</f>
        <v>5</v>
      </c>
      <c r="D17" s="20">
        <f>VLOOKUP("Sweet Grass",referral,2,FALSE)</f>
        <v>3</v>
      </c>
      <c r="E17" s="232"/>
      <c r="F17" s="235"/>
      <c r="G17" s="235"/>
      <c r="H17" s="238"/>
      <c r="I17" s="201"/>
      <c r="J17" s="148"/>
      <c r="K17" s="209"/>
      <c r="L17" s="212"/>
      <c r="M17" s="190"/>
      <c r="N17" s="138"/>
    </row>
    <row r="18" spans="1:14" ht="17.25" thickBot="1" x14ac:dyDescent="0.3">
      <c r="A18" s="140" t="s">
        <v>24</v>
      </c>
      <c r="B18" s="141"/>
      <c r="C18" s="12">
        <f>SUM(C15:C17)</f>
        <v>146</v>
      </c>
      <c r="D18" s="19">
        <f>SUM(D15:D17)</f>
        <v>56</v>
      </c>
      <c r="E18" s="64">
        <f>E15</f>
        <v>5</v>
      </c>
      <c r="F18" s="64">
        <f t="shared" ref="F18:H18" si="2">F15</f>
        <v>6</v>
      </c>
      <c r="G18" s="64">
        <f t="shared" si="2"/>
        <v>4</v>
      </c>
      <c r="H18" s="64">
        <f t="shared" si="2"/>
        <v>5</v>
      </c>
      <c r="I18" s="202"/>
      <c r="J18" s="149"/>
      <c r="K18" s="209"/>
      <c r="L18" s="212"/>
      <c r="M18" s="191"/>
      <c r="N18" s="139"/>
    </row>
    <row r="19" spans="1:14" ht="17.25" thickTop="1" x14ac:dyDescent="0.25">
      <c r="A19" s="217" t="s">
        <v>82</v>
      </c>
      <c r="B19" s="77" t="s">
        <v>83</v>
      </c>
      <c r="C19" s="11">
        <f>VLOOKUP("Lewis and Clark",'[1]Caseload Counts'!$A$1:$D$57,4,FALSE)</f>
        <v>180</v>
      </c>
      <c r="D19" s="11">
        <f>VLOOKUP("Lewis &amp; clark",referral,2,FALSE)</f>
        <v>62</v>
      </c>
      <c r="E19" s="220">
        <v>7</v>
      </c>
      <c r="F19" s="220">
        <v>10</v>
      </c>
      <c r="G19" s="220">
        <v>6</v>
      </c>
      <c r="H19" s="220">
        <v>8</v>
      </c>
      <c r="I19" s="223">
        <f>E23+G23</f>
        <v>13</v>
      </c>
      <c r="J19" s="207">
        <f>F23+H23</f>
        <v>18</v>
      </c>
      <c r="K19" s="208">
        <f>C23/G19</f>
        <v>31.833333333333332</v>
      </c>
      <c r="L19" s="211">
        <f>C23/H19</f>
        <v>23.875</v>
      </c>
      <c r="M19" s="208">
        <f>D23/E19</f>
        <v>10.142857142857142</v>
      </c>
      <c r="N19" s="214">
        <f>D23/F19</f>
        <v>7.1</v>
      </c>
    </row>
    <row r="20" spans="1:14" ht="16.5" x14ac:dyDescent="0.25">
      <c r="A20" s="218"/>
      <c r="B20" s="7" t="s">
        <v>84</v>
      </c>
      <c r="C20" s="13">
        <f>VLOOKUP("Meagher",'[1]Caseload Counts'!$A$1:$D$57,4,FALSE)</f>
        <v>0</v>
      </c>
      <c r="D20" s="13">
        <f>VLOOKUP("meagher",referral,2,FALSE)</f>
        <v>1</v>
      </c>
      <c r="E20" s="221"/>
      <c r="F20" s="221"/>
      <c r="G20" s="221"/>
      <c r="H20" s="221"/>
      <c r="I20" s="201"/>
      <c r="J20" s="148"/>
      <c r="K20" s="209"/>
      <c r="L20" s="212"/>
      <c r="M20" s="209"/>
      <c r="N20" s="215"/>
    </row>
    <row r="21" spans="1:14" ht="16.5" x14ac:dyDescent="0.25">
      <c r="A21" s="219"/>
      <c r="B21" s="7" t="s">
        <v>85</v>
      </c>
      <c r="C21" s="13">
        <f>VLOOKUP("Broadwater",'[1]Caseload Counts'!$A$1:$D$57,4,FALSE)</f>
        <v>2</v>
      </c>
      <c r="D21" s="13">
        <f>VLOOKUP("Broadwater",referral,2,FALSE)</f>
        <v>2</v>
      </c>
      <c r="E21" s="221"/>
      <c r="F21" s="221"/>
      <c r="G21" s="221"/>
      <c r="H21" s="221"/>
      <c r="I21" s="201"/>
      <c r="J21" s="148"/>
      <c r="K21" s="209"/>
      <c r="L21" s="212"/>
      <c r="M21" s="209"/>
      <c r="N21" s="215"/>
    </row>
    <row r="22" spans="1:14" ht="16.5" x14ac:dyDescent="0.25">
      <c r="A22" s="219"/>
      <c r="B22" s="7" t="s">
        <v>86</v>
      </c>
      <c r="C22" s="13">
        <f>VLOOKUP("jefferson",'[1]Caseload Counts'!$A$1:$D$57,4,FALSE)</f>
        <v>9</v>
      </c>
      <c r="D22" s="13">
        <f>VLOOKUP("Jefferson",referral,2,FALSE)</f>
        <v>6</v>
      </c>
      <c r="E22" s="222"/>
      <c r="F22" s="222"/>
      <c r="G22" s="222"/>
      <c r="H22" s="222"/>
      <c r="I22" s="201"/>
      <c r="J22" s="148"/>
      <c r="K22" s="209"/>
      <c r="L22" s="212"/>
      <c r="M22" s="209"/>
      <c r="N22" s="215"/>
    </row>
    <row r="23" spans="1:14" ht="17.25" thickBot="1" x14ac:dyDescent="0.3">
      <c r="A23" s="140" t="s">
        <v>24</v>
      </c>
      <c r="B23" s="141"/>
      <c r="C23" s="12">
        <f>SUM(C19:C22)</f>
        <v>191</v>
      </c>
      <c r="D23" s="12">
        <f>SUM(D19:D22)</f>
        <v>71</v>
      </c>
      <c r="E23" s="90">
        <f>SUM(E19)</f>
        <v>7</v>
      </c>
      <c r="F23" s="90">
        <f t="shared" ref="F23:H23" si="3">SUM(F19)</f>
        <v>10</v>
      </c>
      <c r="G23" s="90">
        <f t="shared" si="3"/>
        <v>6</v>
      </c>
      <c r="H23" s="90">
        <f t="shared" si="3"/>
        <v>8</v>
      </c>
      <c r="I23" s="202"/>
      <c r="J23" s="149"/>
      <c r="K23" s="210"/>
      <c r="L23" s="213"/>
      <c r="M23" s="210"/>
      <c r="N23" s="216"/>
    </row>
    <row r="24" spans="1:14" ht="19.5" thickTop="1" thickBot="1" x14ac:dyDescent="0.3">
      <c r="A24" s="91" t="s">
        <v>46</v>
      </c>
      <c r="B24" s="8"/>
      <c r="C24" s="15">
        <f>+C11+C9+C14+C18+C23</f>
        <v>639</v>
      </c>
      <c r="D24" s="15">
        <f>+D11+D9+D14+D18+D23</f>
        <v>189</v>
      </c>
      <c r="E24" s="37">
        <f>E9+E11+E18+E23</f>
        <v>17</v>
      </c>
      <c r="F24" s="37">
        <f>F9+F11+F18+F23</f>
        <v>22</v>
      </c>
      <c r="G24" s="37">
        <f>G9+G11+G18+G23</f>
        <v>18</v>
      </c>
      <c r="H24" s="37">
        <f>H9+H11+H18+H23</f>
        <v>23</v>
      </c>
      <c r="I24" s="37">
        <f>I8+I10+I19+I12+I15</f>
        <v>37</v>
      </c>
      <c r="J24" s="22">
        <f>J8+J10+J19+J12+J15</f>
        <v>47</v>
      </c>
      <c r="K24" s="92">
        <f>C24/I24</f>
        <v>17.27027027027027</v>
      </c>
      <c r="L24" s="93">
        <f>C24/J24</f>
        <v>13.595744680851064</v>
      </c>
      <c r="M24" s="93">
        <f>D24/I24</f>
        <v>5.1081081081081079</v>
      </c>
      <c r="N24" s="93">
        <f>D24/J24</f>
        <v>4.0212765957446805</v>
      </c>
    </row>
    <row r="25" spans="1:14" ht="15.75" thickTop="1" x14ac:dyDescent="0.25"/>
  </sheetData>
  <mergeCells count="44">
    <mergeCell ref="E6:F6"/>
    <mergeCell ref="G6:H6"/>
    <mergeCell ref="I6:J6"/>
    <mergeCell ref="K6:N6"/>
    <mergeCell ref="I8:I9"/>
    <mergeCell ref="J8:J9"/>
    <mergeCell ref="K8:K9"/>
    <mergeCell ref="L8:L9"/>
    <mergeCell ref="M8:M9"/>
    <mergeCell ref="N8:N9"/>
    <mergeCell ref="A9:B9"/>
    <mergeCell ref="A11:B11"/>
    <mergeCell ref="A12:A13"/>
    <mergeCell ref="I12:I14"/>
    <mergeCell ref="J12:J14"/>
    <mergeCell ref="M15:M18"/>
    <mergeCell ref="N15:N18"/>
    <mergeCell ref="A18:B18"/>
    <mergeCell ref="L12:L14"/>
    <mergeCell ref="M12:M14"/>
    <mergeCell ref="N12:N14"/>
    <mergeCell ref="A14:B14"/>
    <mergeCell ref="A15:A17"/>
    <mergeCell ref="E15:E17"/>
    <mergeCell ref="F15:F17"/>
    <mergeCell ref="G15:G17"/>
    <mergeCell ref="H15:H17"/>
    <mergeCell ref="I15:I18"/>
    <mergeCell ref="K12:K14"/>
    <mergeCell ref="H19:H22"/>
    <mergeCell ref="I19:I23"/>
    <mergeCell ref="J15:J18"/>
    <mergeCell ref="K15:K18"/>
    <mergeCell ref="L15:L18"/>
    <mergeCell ref="A23:B23"/>
    <mergeCell ref="A19:A22"/>
    <mergeCell ref="E19:E22"/>
    <mergeCell ref="F19:F22"/>
    <mergeCell ref="G19:G22"/>
    <mergeCell ref="J19:J23"/>
    <mergeCell ref="K19:K23"/>
    <mergeCell ref="L19:L23"/>
    <mergeCell ref="M19:M23"/>
    <mergeCell ref="N19:N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FDD8-3ACB-4DD5-823E-5CE437AF6666}">
  <dimension ref="A1:N19"/>
  <sheetViews>
    <sheetView workbookViewId="0">
      <selection sqref="A1:B3"/>
    </sheetView>
  </sheetViews>
  <sheetFormatPr defaultRowHeight="15" x14ac:dyDescent="0.25"/>
  <cols>
    <col min="1" max="1" width="33.85546875" bestFit="1" customWidth="1"/>
    <col min="2" max="2" width="14.140625" customWidth="1"/>
    <col min="3" max="3" width="11.5703125" bestFit="1" customWidth="1"/>
    <col min="4" max="4" width="8.5703125" bestFit="1" customWidth="1"/>
    <col min="6" max="6" width="8.5703125" bestFit="1" customWidth="1"/>
    <col min="8" max="8" width="8.5703125" bestFit="1" customWidth="1"/>
    <col min="10" max="10" width="7.42578125" bestFit="1" customWidth="1"/>
    <col min="11" max="12" width="8.7109375" bestFit="1" customWidth="1"/>
    <col min="13" max="13" width="7.42578125" bestFit="1" customWidth="1"/>
    <col min="14" max="14" width="8" bestFit="1" customWidth="1"/>
  </cols>
  <sheetData>
    <row r="1" spans="1:14" x14ac:dyDescent="0.25">
      <c r="A1" s="1" t="s">
        <v>0</v>
      </c>
    </row>
    <row r="2" spans="1:14" x14ac:dyDescent="0.25">
      <c r="A2" t="s">
        <v>1</v>
      </c>
    </row>
    <row r="3" spans="1:14" x14ac:dyDescent="0.25">
      <c r="A3" t="s">
        <v>2</v>
      </c>
      <c r="B3" s="2">
        <v>43951</v>
      </c>
    </row>
    <row r="5" spans="1:14" ht="15.75" thickBot="1" x14ac:dyDescent="0.3"/>
    <row r="6" spans="1:14" ht="15.75" thickTop="1" x14ac:dyDescent="0.25">
      <c r="A6" s="178" t="s">
        <v>87</v>
      </c>
      <c r="B6" s="179"/>
      <c r="C6" s="9" t="s">
        <v>4</v>
      </c>
      <c r="D6" s="16" t="s">
        <v>5</v>
      </c>
      <c r="E6" s="171" t="s">
        <v>6</v>
      </c>
      <c r="F6" s="172"/>
      <c r="G6" s="172" t="s">
        <v>7</v>
      </c>
      <c r="H6" s="172"/>
      <c r="I6" s="172" t="s">
        <v>70</v>
      </c>
      <c r="J6" s="203"/>
      <c r="K6" s="174" t="s">
        <v>9</v>
      </c>
      <c r="L6" s="175"/>
      <c r="M6" s="175"/>
      <c r="N6" s="176"/>
    </row>
    <row r="7" spans="1:14" ht="60.75" thickBot="1" x14ac:dyDescent="0.3">
      <c r="A7" s="180"/>
      <c r="B7" s="181"/>
      <c r="C7" s="10" t="s">
        <v>10</v>
      </c>
      <c r="D7" s="17" t="s">
        <v>11</v>
      </c>
      <c r="E7" s="48" t="s">
        <v>12</v>
      </c>
      <c r="F7" s="48" t="s">
        <v>13</v>
      </c>
      <c r="G7" s="48" t="s">
        <v>14</v>
      </c>
      <c r="H7" s="36" t="s">
        <v>15</v>
      </c>
      <c r="I7" s="36" t="s">
        <v>16</v>
      </c>
      <c r="J7" s="38" t="s">
        <v>17</v>
      </c>
      <c r="K7" s="36" t="s">
        <v>18</v>
      </c>
      <c r="L7" s="40" t="s">
        <v>19</v>
      </c>
      <c r="M7" s="36" t="s">
        <v>20</v>
      </c>
      <c r="N7" s="17" t="s">
        <v>21</v>
      </c>
    </row>
    <row r="8" spans="1:14" ht="20.25" thickTop="1" x14ac:dyDescent="0.3">
      <c r="A8" s="4" t="s">
        <v>88</v>
      </c>
      <c r="B8" s="6" t="s">
        <v>89</v>
      </c>
      <c r="C8" s="94">
        <f>VLOOKUP("Ravalli",'[1]Caseload Counts'!$A$1:$D$57,4,FALSE)</f>
        <v>71</v>
      </c>
      <c r="D8" s="95">
        <f>VLOOKUP("Ravalli",referral,2,FALSE)</f>
        <v>17</v>
      </c>
      <c r="E8" s="96">
        <v>3</v>
      </c>
      <c r="F8" s="96">
        <v>3</v>
      </c>
      <c r="G8" s="96">
        <v>2</v>
      </c>
      <c r="H8" s="96">
        <v>2</v>
      </c>
      <c r="I8" s="144">
        <f>SUM(E9,G9)</f>
        <v>5</v>
      </c>
      <c r="J8" s="147">
        <f>SUM(F9,H9)</f>
        <v>5</v>
      </c>
      <c r="K8" s="255">
        <f>C9/G8</f>
        <v>35.5</v>
      </c>
      <c r="L8" s="257">
        <f>C9/H8</f>
        <v>35.5</v>
      </c>
      <c r="M8" s="255">
        <f>D9/E9</f>
        <v>5.666666666666667</v>
      </c>
      <c r="N8" s="251">
        <f>D9/F9</f>
        <v>5.666666666666667</v>
      </c>
    </row>
    <row r="9" spans="1:14" ht="17.25" thickBot="1" x14ac:dyDescent="0.3">
      <c r="A9" s="140" t="s">
        <v>24</v>
      </c>
      <c r="B9" s="141"/>
      <c r="C9" s="97">
        <f>SUM(C8:C8)</f>
        <v>71</v>
      </c>
      <c r="D9" s="98">
        <f>SUM(D8:D8)</f>
        <v>17</v>
      </c>
      <c r="E9" s="99">
        <f>E8</f>
        <v>3</v>
      </c>
      <c r="F9" s="99">
        <f t="shared" ref="F9:H9" si="0">F8</f>
        <v>3</v>
      </c>
      <c r="G9" s="99">
        <f t="shared" si="0"/>
        <v>2</v>
      </c>
      <c r="H9" s="99">
        <f t="shared" si="0"/>
        <v>2</v>
      </c>
      <c r="I9" s="146"/>
      <c r="J9" s="149"/>
      <c r="K9" s="210"/>
      <c r="L9" s="213"/>
      <c r="M9" s="210"/>
      <c r="N9" s="252"/>
    </row>
    <row r="10" spans="1:14" ht="18" thickTop="1" thickBot="1" x14ac:dyDescent="0.3">
      <c r="A10" s="100"/>
      <c r="B10" s="101"/>
      <c r="C10" s="102"/>
      <c r="D10" s="103"/>
      <c r="E10" s="104"/>
      <c r="F10" s="104"/>
      <c r="G10" s="104"/>
      <c r="H10" s="104"/>
      <c r="I10" s="104"/>
      <c r="J10" s="105"/>
      <c r="K10" s="106"/>
      <c r="L10" s="107"/>
      <c r="M10" s="106"/>
      <c r="N10" s="108"/>
    </row>
    <row r="11" spans="1:14" ht="20.25" thickTop="1" x14ac:dyDescent="0.3">
      <c r="A11" s="44" t="s">
        <v>90</v>
      </c>
      <c r="B11" s="7" t="s">
        <v>91</v>
      </c>
      <c r="C11" s="109">
        <f>VLOOKUP("Missoula",'[1]Caseload Counts'!$A$1:$D$57,4,FALSE)</f>
        <v>211</v>
      </c>
      <c r="D11" s="110">
        <f>VLOOKUP("Missoula",referral,2,FALSE)</f>
        <v>48</v>
      </c>
      <c r="E11" s="111">
        <v>11</v>
      </c>
      <c r="F11" s="111">
        <v>13</v>
      </c>
      <c r="G11" s="111">
        <v>9</v>
      </c>
      <c r="H11" s="111">
        <v>11</v>
      </c>
      <c r="I11" s="144">
        <f>E14+G14</f>
        <v>20</v>
      </c>
      <c r="J11" s="147">
        <f>SUM(F14,H14)</f>
        <v>24</v>
      </c>
      <c r="K11" s="255">
        <f>C14/G11</f>
        <v>25.555555555555557</v>
      </c>
      <c r="L11" s="257">
        <f>C14/H11</f>
        <v>20.90909090909091</v>
      </c>
      <c r="M11" s="255">
        <f>D14/E14</f>
        <v>4.9090909090909092</v>
      </c>
      <c r="N11" s="251">
        <f>D14/F14</f>
        <v>4.1538461538461542</v>
      </c>
    </row>
    <row r="12" spans="1:14" ht="19.5" x14ac:dyDescent="0.3">
      <c r="A12" s="112"/>
      <c r="B12" s="113" t="s">
        <v>92</v>
      </c>
      <c r="C12" s="114">
        <f>VLOOKUP("Powell",'[1]Caseload Counts'!$A$1:$D$57,4,FALSE)</f>
        <v>17</v>
      </c>
      <c r="D12" s="47">
        <f>VLOOKUP("Powell",referral,2,FALSE)</f>
        <v>5</v>
      </c>
      <c r="E12" s="111"/>
      <c r="F12" s="111"/>
      <c r="G12" s="111"/>
      <c r="H12" s="111"/>
      <c r="I12" s="145"/>
      <c r="J12" s="148"/>
      <c r="K12" s="209"/>
      <c r="L12" s="212"/>
      <c r="M12" s="209"/>
      <c r="N12" s="259"/>
    </row>
    <row r="13" spans="1:14" ht="19.5" x14ac:dyDescent="0.3">
      <c r="A13" s="112"/>
      <c r="B13" s="113" t="s">
        <v>93</v>
      </c>
      <c r="C13" s="114">
        <f>VLOOKUP("Granite",'[1]Caseload Counts'!$A$1:$D$57,4,FALSE)</f>
        <v>2</v>
      </c>
      <c r="D13" s="47">
        <f>VLOOKUP("Granite",referral,2,FALSE)</f>
        <v>1</v>
      </c>
      <c r="E13" s="111"/>
      <c r="F13" s="111"/>
      <c r="G13" s="111"/>
      <c r="H13" s="111"/>
      <c r="I13" s="145"/>
      <c r="J13" s="148"/>
      <c r="K13" s="209"/>
      <c r="L13" s="212"/>
      <c r="M13" s="209"/>
      <c r="N13" s="259"/>
    </row>
    <row r="14" spans="1:14" ht="17.25" thickBot="1" x14ac:dyDescent="0.3">
      <c r="A14" s="140" t="s">
        <v>24</v>
      </c>
      <c r="B14" s="141"/>
      <c r="C14" s="97">
        <f>SUM(C11:C13)</f>
        <v>230</v>
      </c>
      <c r="D14" s="98">
        <f>SUM(D11:D13)</f>
        <v>54</v>
      </c>
      <c r="E14" s="115">
        <f>E11</f>
        <v>11</v>
      </c>
      <c r="F14" s="115">
        <f t="shared" ref="F14:H14" si="1">F11</f>
        <v>13</v>
      </c>
      <c r="G14" s="115">
        <f t="shared" si="1"/>
        <v>9</v>
      </c>
      <c r="H14" s="115">
        <f t="shared" si="1"/>
        <v>11</v>
      </c>
      <c r="I14" s="253"/>
      <c r="J14" s="254"/>
      <c r="K14" s="256"/>
      <c r="L14" s="258"/>
      <c r="M14" s="256"/>
      <c r="N14" s="260"/>
    </row>
    <row r="15" spans="1:14" ht="18" thickTop="1" thickBot="1" x14ac:dyDescent="0.3">
      <c r="A15" s="244" t="s">
        <v>94</v>
      </c>
      <c r="B15" s="116" t="s">
        <v>95</v>
      </c>
      <c r="C15" s="117">
        <f>VLOOKUP("Mineral",'[1]Caseload Counts'!$A$1:$D$57,4,FALSE)</f>
        <v>20</v>
      </c>
      <c r="D15" s="118">
        <f>VLOOKUP("Mineral",referral,2,FALSE)</f>
        <v>2</v>
      </c>
      <c r="E15" s="119"/>
      <c r="F15" s="120"/>
      <c r="G15" s="120"/>
      <c r="H15" s="120"/>
      <c r="I15" s="121">
        <v>1</v>
      </c>
      <c r="J15" s="122">
        <v>1</v>
      </c>
      <c r="K15" s="123">
        <f>C15/I15</f>
        <v>20</v>
      </c>
      <c r="L15" s="124">
        <f>C15/J15</f>
        <v>20</v>
      </c>
      <c r="M15" s="123">
        <f>D15/I15</f>
        <v>2</v>
      </c>
      <c r="N15" s="125">
        <f>D15/J15</f>
        <v>2</v>
      </c>
    </row>
    <row r="16" spans="1:14" ht="16.5" x14ac:dyDescent="0.25">
      <c r="A16" s="245"/>
      <c r="B16" s="7" t="s">
        <v>96</v>
      </c>
      <c r="C16" s="13">
        <f>VLOOKUP("Lake",'[1]Caseload Counts'!$A$1:$D$57,4,FALSE)</f>
        <v>44</v>
      </c>
      <c r="D16" s="20">
        <f>VLOOKUP("Lake",referral,2,FALSE)</f>
        <v>9</v>
      </c>
      <c r="E16" s="126">
        <v>1</v>
      </c>
      <c r="F16" s="114">
        <v>2</v>
      </c>
      <c r="G16" s="114">
        <v>2</v>
      </c>
      <c r="H16" s="114">
        <v>2</v>
      </c>
      <c r="I16" s="201">
        <f>E17+G17</f>
        <v>3</v>
      </c>
      <c r="J16" s="148">
        <f>F17+H17</f>
        <v>4</v>
      </c>
      <c r="K16" s="246">
        <f>C17/G16</f>
        <v>32</v>
      </c>
      <c r="L16" s="248">
        <f>C17/H16</f>
        <v>32</v>
      </c>
      <c r="M16" s="249">
        <f>D17/E16</f>
        <v>11</v>
      </c>
      <c r="N16" s="243">
        <f>D17/F16</f>
        <v>5.5</v>
      </c>
    </row>
    <row r="17" spans="1:14" ht="17.25" thickBot="1" x14ac:dyDescent="0.3">
      <c r="A17" s="140" t="s">
        <v>24</v>
      </c>
      <c r="B17" s="141"/>
      <c r="C17" s="97">
        <f>SUM(C15:C16)</f>
        <v>64</v>
      </c>
      <c r="D17" s="97">
        <f>SUM(D15:D16)</f>
        <v>11</v>
      </c>
      <c r="E17" s="97">
        <f>E16</f>
        <v>1</v>
      </c>
      <c r="F17" s="97">
        <f t="shared" ref="F17:H17" si="2">F16</f>
        <v>2</v>
      </c>
      <c r="G17" s="97">
        <f t="shared" si="2"/>
        <v>2</v>
      </c>
      <c r="H17" s="97">
        <f t="shared" si="2"/>
        <v>2</v>
      </c>
      <c r="I17" s="241"/>
      <c r="J17" s="242"/>
      <c r="K17" s="247"/>
      <c r="L17" s="224"/>
      <c r="M17" s="250"/>
      <c r="N17" s="226"/>
    </row>
    <row r="18" spans="1:14" ht="19.5" thickTop="1" thickBot="1" x14ac:dyDescent="0.3">
      <c r="A18" s="5" t="s">
        <v>46</v>
      </c>
      <c r="B18" s="8"/>
      <c r="C18" s="127">
        <f>C9+C17+C14</f>
        <v>365</v>
      </c>
      <c r="D18" s="128">
        <f>D9+D17+D14</f>
        <v>82</v>
      </c>
      <c r="E18" s="129"/>
      <c r="F18" s="129"/>
      <c r="G18" s="129"/>
      <c r="H18" s="129"/>
      <c r="I18" s="130">
        <f>I8+I11+I15+I16</f>
        <v>29</v>
      </c>
      <c r="J18" s="128">
        <f>J8+J11+J15+J16</f>
        <v>34</v>
      </c>
      <c r="K18" s="131">
        <f>C18/I18</f>
        <v>12.586206896551724</v>
      </c>
      <c r="L18" s="132">
        <f>C18/J18</f>
        <v>10.735294117647058</v>
      </c>
      <c r="M18" s="131">
        <f>D18/I18</f>
        <v>2.8275862068965516</v>
      </c>
      <c r="N18" s="133">
        <f>D18/J18</f>
        <v>2.4117647058823528</v>
      </c>
    </row>
    <row r="19" spans="1:14" ht="15.75" thickTop="1" x14ac:dyDescent="0.25"/>
  </sheetData>
  <mergeCells count="27">
    <mergeCell ref="A6:B7"/>
    <mergeCell ref="E6:F6"/>
    <mergeCell ref="G6:H6"/>
    <mergeCell ref="I6:J6"/>
    <mergeCell ref="K6:N6"/>
    <mergeCell ref="N8:N9"/>
    <mergeCell ref="A9:B9"/>
    <mergeCell ref="I11:I14"/>
    <mergeCell ref="J11:J14"/>
    <mergeCell ref="K11:K14"/>
    <mergeCell ref="L11:L14"/>
    <mergeCell ref="M11:M14"/>
    <mergeCell ref="N11:N14"/>
    <mergeCell ref="A14:B14"/>
    <mergeCell ref="I8:I9"/>
    <mergeCell ref="J8:J9"/>
    <mergeCell ref="K8:K9"/>
    <mergeCell ref="L8:L9"/>
    <mergeCell ref="M8:M9"/>
    <mergeCell ref="N16:N17"/>
    <mergeCell ref="A17:B17"/>
    <mergeCell ref="A15:A16"/>
    <mergeCell ref="I16:I17"/>
    <mergeCell ref="J16:J17"/>
    <mergeCell ref="K16:K17"/>
    <mergeCell ref="L16:L17"/>
    <mergeCell ref="M16:M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73139-0943-44B4-B48B-0F371E947F77}">
  <dimension ref="A1:N19"/>
  <sheetViews>
    <sheetView tabSelected="1" workbookViewId="0">
      <selection activeCell="T18" sqref="T18"/>
    </sheetView>
  </sheetViews>
  <sheetFormatPr defaultRowHeight="15" x14ac:dyDescent="0.25"/>
  <cols>
    <col min="1" max="1" width="23.5703125" bestFit="1" customWidth="1"/>
    <col min="2" max="2" width="15.28515625" customWidth="1"/>
    <col min="3" max="3" width="11.5703125" bestFit="1" customWidth="1"/>
    <col min="4" max="4" width="8.5703125" bestFit="1" customWidth="1"/>
    <col min="6" max="6" width="8.5703125" bestFit="1" customWidth="1"/>
    <col min="8" max="8" width="8.5703125" bestFit="1" customWidth="1"/>
    <col min="10" max="10" width="7.42578125" bestFit="1" customWidth="1"/>
    <col min="11" max="12" width="8.7109375" bestFit="1" customWidth="1"/>
    <col min="13" max="13" width="7.42578125" bestFit="1" customWidth="1"/>
    <col min="14" max="14" width="8" bestFit="1" customWidth="1"/>
  </cols>
  <sheetData>
    <row r="1" spans="1:14" x14ac:dyDescent="0.25">
      <c r="A1" s="1" t="s">
        <v>0</v>
      </c>
    </row>
    <row r="2" spans="1:14" x14ac:dyDescent="0.25">
      <c r="A2" t="s">
        <v>1</v>
      </c>
    </row>
    <row r="3" spans="1:14" x14ac:dyDescent="0.25">
      <c r="A3" t="s">
        <v>2</v>
      </c>
      <c r="B3" s="2">
        <v>43951</v>
      </c>
    </row>
    <row r="5" spans="1:14" ht="15.75" thickBot="1" x14ac:dyDescent="0.3"/>
    <row r="6" spans="1:14" ht="15.75" thickTop="1" x14ac:dyDescent="0.25">
      <c r="A6" s="178" t="s">
        <v>97</v>
      </c>
      <c r="B6" s="179"/>
      <c r="C6" s="9" t="s">
        <v>4</v>
      </c>
      <c r="D6" s="16" t="s">
        <v>5</v>
      </c>
      <c r="E6" s="171" t="s">
        <v>6</v>
      </c>
      <c r="F6" s="172"/>
      <c r="G6" s="172" t="s">
        <v>7</v>
      </c>
      <c r="H6" s="172"/>
      <c r="I6" s="172" t="s">
        <v>70</v>
      </c>
      <c r="J6" s="203"/>
      <c r="K6" s="174" t="s">
        <v>9</v>
      </c>
      <c r="L6" s="175"/>
      <c r="M6" s="175"/>
      <c r="N6" s="176"/>
    </row>
    <row r="7" spans="1:14" ht="60.75" thickBot="1" x14ac:dyDescent="0.3">
      <c r="A7" s="180"/>
      <c r="B7" s="181"/>
      <c r="C7" s="10" t="s">
        <v>10</v>
      </c>
      <c r="D7" s="17" t="s">
        <v>11</v>
      </c>
      <c r="E7" s="48" t="s">
        <v>12</v>
      </c>
      <c r="F7" s="48" t="s">
        <v>13</v>
      </c>
      <c r="G7" s="48" t="s">
        <v>14</v>
      </c>
      <c r="H7" s="36" t="s">
        <v>15</v>
      </c>
      <c r="I7" s="36" t="s">
        <v>16</v>
      </c>
      <c r="J7" s="38" t="s">
        <v>17</v>
      </c>
      <c r="K7" s="36" t="s">
        <v>18</v>
      </c>
      <c r="L7" s="40" t="s">
        <v>19</v>
      </c>
      <c r="M7" s="36" t="s">
        <v>20</v>
      </c>
      <c r="N7" s="17" t="s">
        <v>21</v>
      </c>
    </row>
    <row r="8" spans="1:14" ht="20.25" thickTop="1" x14ac:dyDescent="0.3">
      <c r="A8" s="4" t="s">
        <v>98</v>
      </c>
      <c r="B8" s="6" t="s">
        <v>99</v>
      </c>
      <c r="C8" s="94">
        <f>VLOOKUP("Flathead",'[1]Caseload Counts'!$A$1:$D$57,4,FALSE)</f>
        <v>183</v>
      </c>
      <c r="D8" s="95">
        <f>VLOOKUP("Flathead",referral,2,FALSE)</f>
        <v>70</v>
      </c>
      <c r="E8" s="96">
        <v>7</v>
      </c>
      <c r="F8" s="96">
        <v>9</v>
      </c>
      <c r="G8" s="96">
        <v>7</v>
      </c>
      <c r="H8" s="96">
        <v>7</v>
      </c>
      <c r="I8" s="144">
        <f>SUM(E9,G9)</f>
        <v>14</v>
      </c>
      <c r="J8" s="147">
        <f>SUM(F9,H9)</f>
        <v>16</v>
      </c>
      <c r="K8" s="255">
        <f>C9/G9</f>
        <v>26.142857142857142</v>
      </c>
      <c r="L8" s="257">
        <f>C9/H9</f>
        <v>26.142857142857142</v>
      </c>
      <c r="M8" s="255">
        <f>D9/E9</f>
        <v>10</v>
      </c>
      <c r="N8" s="251">
        <f>D9/F9</f>
        <v>7.7777777777777777</v>
      </c>
    </row>
    <row r="9" spans="1:14" ht="17.25" thickBot="1" x14ac:dyDescent="0.3">
      <c r="A9" s="140" t="s">
        <v>24</v>
      </c>
      <c r="B9" s="141"/>
      <c r="C9" s="97">
        <f>SUM(C8:C8)</f>
        <v>183</v>
      </c>
      <c r="D9" s="98">
        <f>SUM(D8:D8)</f>
        <v>70</v>
      </c>
      <c r="E9" s="99">
        <f>E8</f>
        <v>7</v>
      </c>
      <c r="F9" s="99">
        <f t="shared" ref="F9:H9" si="0">F8</f>
        <v>9</v>
      </c>
      <c r="G9" s="99">
        <f t="shared" si="0"/>
        <v>7</v>
      </c>
      <c r="H9" s="99">
        <f t="shared" si="0"/>
        <v>7</v>
      </c>
      <c r="I9" s="146"/>
      <c r="J9" s="149"/>
      <c r="K9" s="210"/>
      <c r="L9" s="213"/>
      <c r="M9" s="210"/>
      <c r="N9" s="252"/>
    </row>
    <row r="10" spans="1:14" ht="17.25" thickTop="1" x14ac:dyDescent="0.25">
      <c r="A10" s="244" t="s">
        <v>100</v>
      </c>
      <c r="B10" s="6" t="s">
        <v>101</v>
      </c>
      <c r="C10" s="94">
        <f>VLOOKUP("Lincoln",'[1]Caseload Counts'!$A$1:$D$57,4,FALSE)</f>
        <v>45</v>
      </c>
      <c r="D10" s="95">
        <f>VLOOKUP("Lincoln",referral,2,FALSE)</f>
        <v>10</v>
      </c>
      <c r="E10" s="134"/>
      <c r="F10" s="134"/>
      <c r="G10" s="134"/>
      <c r="H10" s="134"/>
      <c r="I10" s="144">
        <v>6</v>
      </c>
      <c r="J10" s="147">
        <v>6</v>
      </c>
      <c r="K10" s="255">
        <f>C12/I10</f>
        <v>11.5</v>
      </c>
      <c r="L10" s="257">
        <f>C12/J10</f>
        <v>11.5</v>
      </c>
      <c r="M10" s="255">
        <f>D12/I10</f>
        <v>2.3333333333333335</v>
      </c>
      <c r="N10" s="251">
        <f>D12/J10</f>
        <v>2.3333333333333335</v>
      </c>
    </row>
    <row r="11" spans="1:14" ht="16.5" x14ac:dyDescent="0.25">
      <c r="A11" s="187"/>
      <c r="B11" s="7" t="s">
        <v>102</v>
      </c>
      <c r="C11" s="109">
        <f>VLOOKUP("Sanders",'[1]Caseload Counts'!$A$1:$D$57,4,FALSE)</f>
        <v>24</v>
      </c>
      <c r="D11" s="110">
        <f>VLOOKUP("Sanders",referral,2,FALSE)</f>
        <v>4</v>
      </c>
      <c r="E11" s="135"/>
      <c r="F11" s="135"/>
      <c r="G11" s="135"/>
      <c r="H11" s="135"/>
      <c r="I11" s="145"/>
      <c r="J11" s="148"/>
      <c r="K11" s="209"/>
      <c r="L11" s="212"/>
      <c r="M11" s="209"/>
      <c r="N11" s="259"/>
    </row>
    <row r="12" spans="1:14" ht="17.25" thickBot="1" x14ac:dyDescent="0.3">
      <c r="A12" s="140" t="s">
        <v>24</v>
      </c>
      <c r="B12" s="141"/>
      <c r="C12" s="97">
        <f>SUM(C10:C11)</f>
        <v>69</v>
      </c>
      <c r="D12" s="98">
        <f>SUM(D10:D11)</f>
        <v>14</v>
      </c>
      <c r="E12" s="136"/>
      <c r="F12" s="136"/>
      <c r="G12" s="136"/>
      <c r="H12" s="136"/>
      <c r="I12" s="146"/>
      <c r="J12" s="149"/>
      <c r="K12" s="210"/>
      <c r="L12" s="213"/>
      <c r="M12" s="210"/>
      <c r="N12" s="252"/>
    </row>
    <row r="13" spans="1:14" ht="17.25" thickTop="1" x14ac:dyDescent="0.25">
      <c r="A13" s="142" t="s">
        <v>103</v>
      </c>
      <c r="B13" s="7" t="s">
        <v>104</v>
      </c>
      <c r="C13" s="13">
        <f>VLOOKUP("Glacier",'[1]Caseload Counts'!$A$1:$D$57,4,FALSE)</f>
        <v>30</v>
      </c>
      <c r="D13" s="20">
        <f>VLOOKUP("Glacier",referral,2,FALSE)</f>
        <v>6</v>
      </c>
      <c r="E13" s="135"/>
      <c r="F13" s="135"/>
      <c r="G13" s="135"/>
      <c r="H13" s="135"/>
      <c r="I13" s="144">
        <v>3</v>
      </c>
      <c r="J13" s="147">
        <v>4</v>
      </c>
      <c r="K13" s="255">
        <f>C17/I13</f>
        <v>18</v>
      </c>
      <c r="L13" s="257">
        <f>C17/J13</f>
        <v>13.5</v>
      </c>
      <c r="M13" s="255">
        <f>D17/I13</f>
        <v>5.666666666666667</v>
      </c>
      <c r="N13" s="251">
        <f>D17/J13</f>
        <v>4.25</v>
      </c>
    </row>
    <row r="14" spans="1:14" ht="16.5" x14ac:dyDescent="0.25">
      <c r="A14" s="143"/>
      <c r="B14" s="7" t="s">
        <v>105</v>
      </c>
      <c r="C14" s="13">
        <f>VLOOKUP("Toole",'[1]Caseload Counts'!$A$1:$D$57,4,FALSE)</f>
        <v>6</v>
      </c>
      <c r="D14" s="20">
        <f>VLOOKUP("Toole",referral,2,FALSE)</f>
        <v>6</v>
      </c>
      <c r="E14" s="135"/>
      <c r="F14" s="135"/>
      <c r="G14" s="135"/>
      <c r="H14" s="135"/>
      <c r="I14" s="145"/>
      <c r="J14" s="148"/>
      <c r="K14" s="209"/>
      <c r="L14" s="212"/>
      <c r="M14" s="209"/>
      <c r="N14" s="259"/>
    </row>
    <row r="15" spans="1:14" ht="16.5" x14ac:dyDescent="0.25">
      <c r="A15" s="182"/>
      <c r="B15" s="7" t="s">
        <v>106</v>
      </c>
      <c r="C15" s="13">
        <f>VLOOKUP("Pondera",'[1]Caseload Counts'!$A$1:$D$57,4,FALSE)</f>
        <v>9</v>
      </c>
      <c r="D15" s="20">
        <f>VLOOKUP("Pondera",referral,2,FALSE)</f>
        <v>1</v>
      </c>
      <c r="E15" s="135"/>
      <c r="F15" s="135"/>
      <c r="G15" s="135"/>
      <c r="H15" s="135"/>
      <c r="I15" s="145"/>
      <c r="J15" s="148"/>
      <c r="K15" s="209"/>
      <c r="L15" s="212"/>
      <c r="M15" s="209"/>
      <c r="N15" s="259"/>
    </row>
    <row r="16" spans="1:14" ht="16.5" x14ac:dyDescent="0.25">
      <c r="A16" s="183"/>
      <c r="B16" s="7" t="s">
        <v>107</v>
      </c>
      <c r="C16" s="13">
        <f>VLOOKUP("Teton",'[1]Caseload Counts'!$A$1:$D$57,4,FALSE)</f>
        <v>9</v>
      </c>
      <c r="D16" s="20">
        <f>VLOOKUP("Teton",referral,2,FALSE)</f>
        <v>4</v>
      </c>
      <c r="E16" s="135"/>
      <c r="F16" s="135"/>
      <c r="G16" s="135"/>
      <c r="H16" s="135"/>
      <c r="I16" s="145"/>
      <c r="J16" s="148"/>
      <c r="K16" s="209"/>
      <c r="L16" s="212"/>
      <c r="M16" s="209"/>
      <c r="N16" s="259"/>
    </row>
    <row r="17" spans="1:14" ht="17.25" thickBot="1" x14ac:dyDescent="0.3">
      <c r="A17" s="140" t="s">
        <v>24</v>
      </c>
      <c r="B17" s="141"/>
      <c r="C17" s="97">
        <f>SUM(C13:C16)</f>
        <v>54</v>
      </c>
      <c r="D17" s="98">
        <f>SUM(D13:D16)</f>
        <v>17</v>
      </c>
      <c r="E17" s="99"/>
      <c r="F17" s="99"/>
      <c r="G17" s="99"/>
      <c r="H17" s="99"/>
      <c r="I17" s="146"/>
      <c r="J17" s="149"/>
      <c r="K17" s="210"/>
      <c r="L17" s="213"/>
      <c r="M17" s="210"/>
      <c r="N17" s="252"/>
    </row>
    <row r="18" spans="1:14" ht="19.5" thickTop="1" thickBot="1" x14ac:dyDescent="0.3">
      <c r="A18" s="5" t="s">
        <v>46</v>
      </c>
      <c r="B18" s="8"/>
      <c r="C18" s="127">
        <f>C9+C12+C17</f>
        <v>306</v>
      </c>
      <c r="D18" s="128">
        <f>D9+D12+D17</f>
        <v>101</v>
      </c>
      <c r="E18" s="129"/>
      <c r="F18" s="129"/>
      <c r="G18" s="129"/>
      <c r="H18" s="129"/>
      <c r="I18" s="130">
        <f>I8+I10+I13</f>
        <v>23</v>
      </c>
      <c r="J18" s="128">
        <f>J8+J10+J13</f>
        <v>26</v>
      </c>
      <c r="K18" s="131">
        <f>C18/(G9+I10+I13)</f>
        <v>19.125</v>
      </c>
      <c r="L18" s="132">
        <f>C18/J18</f>
        <v>11.76923076923077</v>
      </c>
      <c r="M18" s="131">
        <f>D18/I18</f>
        <v>4.3913043478260869</v>
      </c>
      <c r="N18" s="133">
        <f>D18/J18</f>
        <v>3.8846153846153846</v>
      </c>
    </row>
    <row r="19" spans="1:14" ht="15.75" thickTop="1" x14ac:dyDescent="0.25"/>
  </sheetData>
  <mergeCells count="28">
    <mergeCell ref="A6:B7"/>
    <mergeCell ref="E6:F6"/>
    <mergeCell ref="G6:H6"/>
    <mergeCell ref="I6:J6"/>
    <mergeCell ref="K6:N6"/>
    <mergeCell ref="N8:N9"/>
    <mergeCell ref="A9:B9"/>
    <mergeCell ref="A10:A11"/>
    <mergeCell ref="I10:I12"/>
    <mergeCell ref="J10:J12"/>
    <mergeCell ref="K10:K12"/>
    <mergeCell ref="L10:L12"/>
    <mergeCell ref="M10:M12"/>
    <mergeCell ref="N10:N12"/>
    <mergeCell ref="A12:B12"/>
    <mergeCell ref="I8:I9"/>
    <mergeCell ref="J8:J9"/>
    <mergeCell ref="K8:K9"/>
    <mergeCell ref="L8:L9"/>
    <mergeCell ref="M8:M9"/>
    <mergeCell ref="N13:N17"/>
    <mergeCell ref="A17:B17"/>
    <mergeCell ref="A13:A16"/>
    <mergeCell ref="I13:I17"/>
    <mergeCell ref="J13:J17"/>
    <mergeCell ref="K13:K17"/>
    <mergeCell ref="L13:L17"/>
    <mergeCell ref="M13:M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Entering_Exiting</vt:lpstr>
      <vt:lpstr>Region 1</vt:lpstr>
      <vt:lpstr>Region 2</vt:lpstr>
      <vt:lpstr>Region 3</vt:lpstr>
      <vt:lpstr>Region 4</vt:lpstr>
      <vt:lpstr>Region 5</vt:lpstr>
      <vt:lpstr>Region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Robin</dc:creator>
  <cp:lastModifiedBy>Vining, Marti</cp:lastModifiedBy>
  <dcterms:created xsi:type="dcterms:W3CDTF">2020-06-05T19:52:55Z</dcterms:created>
  <dcterms:modified xsi:type="dcterms:W3CDTF">2020-06-09T21:50:48Z</dcterms:modified>
</cp:coreProperties>
</file>